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344" windowWidth="15132" windowHeight="8520" activeTab="0"/>
  </bookViews>
  <sheets>
    <sheet name="pre-anneal" sheetId="1" r:id="rId1"/>
    <sheet name="5min anneal" sheetId="2" r:id="rId2"/>
    <sheet name="15min anneal" sheetId="3" r:id="rId3"/>
    <sheet name="summary" sheetId="4" r:id="rId4"/>
    <sheet name="Calibration" sheetId="5" r:id="rId5"/>
  </sheets>
  <definedNames/>
  <calcPr fullCalcOnLoad="1"/>
</workbook>
</file>

<file path=xl/sharedStrings.xml><?xml version="1.0" encoding="utf-8"?>
<sst xmlns="http://schemas.openxmlformats.org/spreadsheetml/2006/main" count="254" uniqueCount="52">
  <si>
    <t>V_thresh</t>
  </si>
  <si>
    <t>Q_thresh</t>
  </si>
  <si>
    <t>non_zero</t>
  </si>
  <si>
    <t>zero</t>
  </si>
  <si>
    <t>missing</t>
  </si>
  <si>
    <t>coin</t>
  </si>
  <si>
    <t>corr_eff</t>
  </si>
  <si>
    <t>Vrev = 20</t>
  </si>
  <si>
    <t>Vrev = 30</t>
  </si>
  <si>
    <t>Vrev = 40</t>
  </si>
  <si>
    <t>Vrev = 50</t>
  </si>
  <si>
    <t>Vrev = 60</t>
  </si>
  <si>
    <t>Vrev = 70</t>
  </si>
  <si>
    <t>Vrev = 90</t>
  </si>
  <si>
    <t>Vrev = 80</t>
  </si>
  <si>
    <t>T= -10 C</t>
  </si>
  <si>
    <t>Vrev = 100</t>
  </si>
  <si>
    <t xml:space="preserve">n-type detector ' 253' irradiated </t>
  </si>
  <si>
    <t>Q</t>
  </si>
  <si>
    <t>30V</t>
  </si>
  <si>
    <t>40V</t>
  </si>
  <si>
    <t>50V</t>
  </si>
  <si>
    <t>60V</t>
  </si>
  <si>
    <t>70V</t>
  </si>
  <si>
    <t>80V</t>
  </si>
  <si>
    <t>100V</t>
  </si>
  <si>
    <t xml:space="preserve"> </t>
  </si>
  <si>
    <t>90V</t>
  </si>
  <si>
    <t>V</t>
  </si>
  <si>
    <t>Q fC</t>
  </si>
  <si>
    <t xml:space="preserve">irradiated n-type </t>
  </si>
  <si>
    <t>cce</t>
  </si>
  <si>
    <t>Mean fC</t>
  </si>
  <si>
    <t>mean fC</t>
  </si>
  <si>
    <t>non irradiated p type</t>
  </si>
  <si>
    <t>T= -10 C, after 5 min annealing at 60C</t>
  </si>
  <si>
    <t>Vrev = 500</t>
  </si>
  <si>
    <t>Vrev = 700</t>
  </si>
  <si>
    <t>Vrev = 900</t>
  </si>
  <si>
    <t>Vrev = 800</t>
  </si>
  <si>
    <t>Vrev = 600</t>
  </si>
  <si>
    <t>Vrev = 250</t>
  </si>
  <si>
    <t>pre anneal</t>
  </si>
  <si>
    <t>5min anneal</t>
  </si>
  <si>
    <t>High voltage (500V)</t>
  </si>
  <si>
    <t>Low voltage (80V)</t>
  </si>
  <si>
    <t>Calibration done at -10 C</t>
  </si>
  <si>
    <t>pre-anneal</t>
  </si>
  <si>
    <t>gain = 80.7811</t>
  </si>
  <si>
    <t>offset = -6.0483</t>
  </si>
  <si>
    <t>High V gain = 82.6619642857143</t>
  </si>
  <si>
    <t>High V offset = -20.495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</si>
</sst>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vertAlign val="superscript"/>
      <sz val="8.25"/>
      <name val="Arial"/>
      <family val="0"/>
    </font>
    <font>
      <vertAlign val="superscript"/>
      <sz val="8.75"/>
      <name val="Arial"/>
      <family val="0"/>
    </font>
    <font>
      <vertAlign val="superscript"/>
      <sz val="10"/>
      <name val="Arial"/>
      <family val="0"/>
    </font>
    <font>
      <sz val="12"/>
      <name val="Arial"/>
      <family val="0"/>
    </font>
    <font>
      <b/>
      <sz val="16.75"/>
      <name val="Arial"/>
      <family val="0"/>
    </font>
    <font>
      <sz val="16.75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  <font>
      <vertAlign val="superscript"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1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1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75"/>
          <c:w val="0.79575"/>
          <c:h val="0.880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'pre-anneal'!$B$86:$B$90</c:f>
              <c:numCache/>
            </c:numRef>
          </c:xVal>
          <c:yVal>
            <c:numRef>
              <c:f>'pre-anneal'!$G$86:$G$90</c:f>
              <c:numCache/>
            </c:numRef>
          </c:yVal>
          <c:smooth val="1"/>
        </c:ser>
        <c:axId val="69676"/>
        <c:axId val="627085"/>
      </c:scatterChart>
      <c:valAx>
        <c:axId val="6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085"/>
        <c:crosses val="autoZero"/>
        <c:crossBetween val="midCat"/>
        <c:dispUnits/>
      </c:valAx>
      <c:valAx>
        <c:axId val="6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67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Vrev=80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80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anneal'!$B$87:$B$97</c:f>
              <c:numCache/>
            </c:numRef>
          </c:xVal>
          <c:yVal>
            <c:numRef>
              <c:f>'5min anneal'!$G$87:$G$97</c:f>
              <c:numCache/>
            </c:numRef>
          </c:yVal>
          <c:smooth val="1"/>
        </c:ser>
        <c:axId val="29258950"/>
        <c:axId val="62003959"/>
      </c:scatterChart>
      <c:valAx>
        <c:axId val="2925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03959"/>
        <c:crosses val="autoZero"/>
        <c:crossBetween val="midCat"/>
        <c:dispUnits/>
      </c:valAx>
      <c:valAx>
        <c:axId val="6200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5895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 rev = 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0"/>
            <c:dispRSqr val="0"/>
          </c:trendline>
          <c:trendline>
            <c:trendlineType val="poly"/>
            <c:order val="5"/>
            <c:dispEq val="0"/>
            <c:dispRSqr val="0"/>
          </c:trendline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anneal'!$B$104:$B$115</c:f>
              <c:numCache/>
            </c:numRef>
          </c:xVal>
          <c:yVal>
            <c:numRef>
              <c:f>'5min anneal'!$G$104:$G$115</c:f>
              <c:numCache/>
            </c:numRef>
          </c:yVal>
          <c:smooth val="1"/>
        </c:ser>
        <c:axId val="21164720"/>
        <c:axId val="56264753"/>
      </c:scatterChart>
      <c:val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injected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64753"/>
        <c:crosses val="autoZero"/>
        <c:crossBetween val="midCat"/>
        <c:dispUnits/>
      </c:valAx>
      <c:valAx>
        <c:axId val="562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47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Vrev=70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70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anneal'!$B$71:$B$80</c:f>
              <c:numCache/>
            </c:numRef>
          </c:xVal>
          <c:yVal>
            <c:numRef>
              <c:f>'5min anneal'!$G$71:$G$80</c:f>
              <c:numCache/>
            </c:numRef>
          </c:yVal>
          <c:smooth val="1"/>
        </c:ser>
        <c:axId val="36620730"/>
        <c:axId val="61151115"/>
      </c:scatterChart>
      <c:valAx>
        <c:axId val="366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51115"/>
        <c:crosses val="autoZero"/>
        <c:crossBetween val="midCat"/>
        <c:dispUnits/>
      </c:valAx>
      <c:valAx>
        <c:axId val="6115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2073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Vrev=60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anneal'!$B$56:$B$63</c:f>
              <c:numCache/>
            </c:numRef>
          </c:xVal>
          <c:yVal>
            <c:numRef>
              <c:f>'5min anneal'!$G$56:$G$63</c:f>
              <c:numCache/>
            </c:numRef>
          </c:yVal>
          <c:smooth val="1"/>
        </c:ser>
        <c:axId val="13489124"/>
        <c:axId val="54293253"/>
      </c:scatterChart>
      <c:valAx>
        <c:axId val="1348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93253"/>
        <c:crosses val="autoZero"/>
        <c:crossBetween val="midCat"/>
        <c:dispUnits/>
      </c:valAx>
      <c:valAx>
        <c:axId val="54293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89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anneal'!$B$44:$B$50</c:f>
              <c:numCache/>
            </c:numRef>
          </c:xVal>
          <c:yVal>
            <c:numRef>
              <c:f>'5min anneal'!$G$44:$G$50</c:f>
              <c:numCache/>
            </c:numRef>
          </c:yVal>
          <c:smooth val="1"/>
        </c:ser>
        <c:axId val="18877230"/>
        <c:axId val="35677343"/>
      </c:scatterChart>
      <c:valAx>
        <c:axId val="1887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77343"/>
        <c:crosses val="autoZero"/>
        <c:crossBetween val="midCat"/>
        <c:dispUnits/>
      </c:valAx>
      <c:valAx>
        <c:axId val="3567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77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Vrev=40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 rev = 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anneal'!$B$31:$B$36</c:f>
              <c:numCache/>
            </c:numRef>
          </c:xVal>
          <c:yVal>
            <c:numRef>
              <c:f>'5min anneal'!$G$31:$G$36</c:f>
              <c:numCache/>
            </c:numRef>
          </c:yVal>
          <c:smooth val="1"/>
        </c:ser>
        <c:axId val="52660632"/>
        <c:axId val="4183641"/>
      </c:scatterChart>
      <c:valAx>
        <c:axId val="5266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3641"/>
        <c:crosses val="autoZero"/>
        <c:crossBetween val="midCat"/>
        <c:dispUnits/>
      </c:valAx>
      <c:valAx>
        <c:axId val="4183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606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Vrev=30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'5min anneal'!$B$17:$B$21</c:f>
              <c:numCache/>
            </c:numRef>
          </c:xVal>
          <c:yVal>
            <c:numRef>
              <c:f>'5min anneal'!$G$17:$G$21</c:f>
              <c:numCache/>
            </c:numRef>
          </c:yVal>
          <c:smooth val="1"/>
        </c:ser>
        <c:axId val="37652770"/>
        <c:axId val="3330611"/>
      </c:scatterChart>
      <c:valAx>
        <c:axId val="37652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0611"/>
        <c:crosses val="autoZero"/>
        <c:crossBetween val="midCat"/>
        <c:dispUnits/>
      </c:valAx>
      <c:valAx>
        <c:axId val="3330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52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Q injected vs. 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'5min anneal'!$J$2:$J$14</c:f>
              <c:numCache/>
            </c:numRef>
          </c:xVal>
          <c:yVal>
            <c:numRef>
              <c:f>'5min anneal'!$K$2:$K$14</c:f>
              <c:numCache/>
            </c:numRef>
          </c:yVal>
          <c:smooth val="1"/>
        </c:ser>
        <c:axId val="29975500"/>
        <c:axId val="1344045"/>
      </c:scatterChart>
      <c:valAx>
        <c:axId val="2997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045"/>
        <c:crosses val="autoZero"/>
        <c:crossBetween val="midCat"/>
        <c:dispUnits/>
      </c:valAx>
      <c:valAx>
        <c:axId val="134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median Q injected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5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Vrev=250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('5min anneal'!$B$227,'5min anneal'!$B$228,'5min anneal'!$B$229,'5min anneal'!$B$232)</c:f>
              <c:numCache>
                <c:ptCount val="4"/>
                <c:pt idx="0">
                  <c:v>3.1513652145509976</c:v>
                </c:pt>
                <c:pt idx="1">
                  <c:v>3.5142933184936065</c:v>
                </c:pt>
                <c:pt idx="2">
                  <c:v>3.8772214224362154</c:v>
                </c:pt>
                <c:pt idx="3">
                  <c:v>4.9660057342640425</c:v>
                </c:pt>
              </c:numCache>
            </c:numRef>
          </c:xVal>
          <c:yVal>
            <c:numRef>
              <c:f>('5min anneal'!$G$227,'5min anneal'!$G$228,'5min anneal'!$G$229,'5min anneal'!$G$232)</c:f>
              <c:numCache>
                <c:ptCount val="4"/>
                <c:pt idx="0">
                  <c:v>0.572463768115942</c:v>
                </c:pt>
                <c:pt idx="1">
                  <c:v>0.4536376604850214</c:v>
                </c:pt>
                <c:pt idx="2">
                  <c:v>0.3352727272727273</c:v>
                </c:pt>
                <c:pt idx="3">
                  <c:v>0.23733862959285004</c:v>
                </c:pt>
              </c:numCache>
            </c:numRef>
          </c:yVal>
          <c:smooth val="1"/>
        </c:ser>
        <c:axId val="12096406"/>
        <c:axId val="41758791"/>
      </c:scatterChart>
      <c:valAx>
        <c:axId val="12096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injected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58791"/>
        <c:crosses val="autoZero"/>
        <c:crossBetween val="midCat"/>
        <c:dispUnits/>
      </c:valAx>
      <c:valAx>
        <c:axId val="4175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64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W187 n MCz "253" Median Collected Charge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84"/>
          <c:w val="0.92825"/>
          <c:h val="0.84075"/>
        </c:manualLayout>
      </c:layout>
      <c:scatterChart>
        <c:scatterStyle val="smoothMarker"/>
        <c:varyColors val="0"/>
        <c:ser>
          <c:idx val="1"/>
          <c:order val="0"/>
          <c:tx>
            <c:v>pre anneal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summary!$E$3:$E$10</c:f>
              <c:numCach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</c:numCache>
            </c:numRef>
          </c:xVal>
          <c:yVal>
            <c:numRef>
              <c:f>summary!$F$3:$F$10</c:f>
              <c:numCache>
                <c:ptCount val="8"/>
                <c:pt idx="0">
                  <c:v>1.04</c:v>
                </c:pt>
                <c:pt idx="1">
                  <c:v>1.27</c:v>
                </c:pt>
                <c:pt idx="2">
                  <c:v>1.51</c:v>
                </c:pt>
                <c:pt idx="3">
                  <c:v>1.73</c:v>
                </c:pt>
                <c:pt idx="4">
                  <c:v>1.91</c:v>
                </c:pt>
                <c:pt idx="5">
                  <c:v>2.09</c:v>
                </c:pt>
                <c:pt idx="6">
                  <c:v>2.2</c:v>
                </c:pt>
                <c:pt idx="7">
                  <c:v>2.26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summary!$I$1</c:f>
              <c:strCache>
                <c:ptCount val="1"/>
                <c:pt idx="0">
                  <c:v>pre-anneal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summary!$I$3:$I$14</c:f>
              <c:numCache>
                <c:ptCount val="12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100</c:v>
                </c:pt>
                <c:pt idx="7">
                  <c:v>250</c:v>
                </c:pt>
                <c:pt idx="8">
                  <c:v>500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</c:numCache>
            </c:numRef>
          </c:xVal>
          <c:yVal>
            <c:numRef>
              <c:f>summary!$J$3:$J$14</c:f>
              <c:numCache>
                <c:ptCount val="12"/>
                <c:pt idx="0">
                  <c:v>1.05</c:v>
                </c:pt>
                <c:pt idx="1">
                  <c:v>1.25</c:v>
                </c:pt>
                <c:pt idx="2">
                  <c:v>1.5</c:v>
                </c:pt>
                <c:pt idx="3">
                  <c:v>1.7</c:v>
                </c:pt>
                <c:pt idx="4">
                  <c:v>1.85</c:v>
                </c:pt>
                <c:pt idx="5">
                  <c:v>2</c:v>
                </c:pt>
                <c:pt idx="6">
                  <c:v>2.17</c:v>
                </c:pt>
                <c:pt idx="7">
                  <c:v>2.8</c:v>
                </c:pt>
                <c:pt idx="8">
                  <c:v>3.15</c:v>
                </c:pt>
                <c:pt idx="9">
                  <c:v>3.2</c:v>
                </c:pt>
                <c:pt idx="10">
                  <c:v>3.28</c:v>
                </c:pt>
                <c:pt idx="11">
                  <c:v>3.32</c:v>
                </c:pt>
              </c:numCache>
            </c:numRef>
          </c:yVal>
          <c:smooth val="1"/>
        </c:ser>
        <c:ser>
          <c:idx val="0"/>
          <c:order val="2"/>
          <c:tx>
            <c:v>5min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summary!$A$3:$A$14</c:f>
              <c:numCache>
                <c:ptCount val="12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100</c:v>
                </c:pt>
                <c:pt idx="7">
                  <c:v>250</c:v>
                </c:pt>
                <c:pt idx="8">
                  <c:v>500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</c:numCache>
            </c:numRef>
          </c:xVal>
          <c:yVal>
            <c:numRef>
              <c:f>summary!$B$3:$B$14</c:f>
              <c:numCache>
                <c:ptCount val="12"/>
                <c:pt idx="0">
                  <c:v>1.06</c:v>
                </c:pt>
                <c:pt idx="1">
                  <c:v>1.25</c:v>
                </c:pt>
                <c:pt idx="2">
                  <c:v>1.51</c:v>
                </c:pt>
                <c:pt idx="3">
                  <c:v>1.69</c:v>
                </c:pt>
                <c:pt idx="4">
                  <c:v>1.88</c:v>
                </c:pt>
                <c:pt idx="5">
                  <c:v>1.98</c:v>
                </c:pt>
                <c:pt idx="6">
                  <c:v>2.21</c:v>
                </c:pt>
                <c:pt idx="7">
                  <c:v>2.88</c:v>
                </c:pt>
                <c:pt idx="8">
                  <c:v>3.15</c:v>
                </c:pt>
                <c:pt idx="9">
                  <c:v>3.2</c:v>
                </c:pt>
                <c:pt idx="10">
                  <c:v>3.28</c:v>
                </c:pt>
                <c:pt idx="11">
                  <c:v>3.32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'pre-anneal'!$W$1</c:f>
              <c:strCache>
                <c:ptCount val="1"/>
                <c:pt idx="0">
                  <c:v>non irradiated p type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'pre-anneal'!$W$3:$W$9</c:f>
              <c:numCach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'pre-anneal'!$X$3:$X$9</c:f>
              <c:numCache>
                <c:ptCount val="7"/>
                <c:pt idx="0">
                  <c:v>1.18</c:v>
                </c:pt>
                <c:pt idx="1">
                  <c:v>1.59</c:v>
                </c:pt>
                <c:pt idx="2">
                  <c:v>2.48</c:v>
                </c:pt>
                <c:pt idx="3">
                  <c:v>3.78</c:v>
                </c:pt>
                <c:pt idx="4">
                  <c:v>4</c:v>
                </c:pt>
                <c:pt idx="5">
                  <c:v>4.07</c:v>
                </c:pt>
                <c:pt idx="6">
                  <c:v>4.07</c:v>
                </c:pt>
              </c:numCache>
            </c:numRef>
          </c:yVal>
          <c:smooth val="1"/>
        </c:ser>
        <c:axId val="40284800"/>
        <c:axId val="27018881"/>
      </c:scatterChart>
      <c:valAx>
        <c:axId val="4028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Bias [V]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18881"/>
        <c:crosses val="autoZero"/>
        <c:crossBetween val="midCat"/>
        <c:dispUnits/>
      </c:valAx>
      <c:valAx>
        <c:axId val="2701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median Q [fC]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8480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575"/>
          <c:y val="0.49675"/>
          <c:w val="0.28575"/>
          <c:h val="0.194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70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'pre-anneal'!$B$67:$B$75</c:f>
              <c:numCache/>
            </c:numRef>
          </c:xVal>
          <c:yVal>
            <c:numRef>
              <c:f>'pre-anneal'!$G$67:$G$75</c:f>
              <c:numCache/>
            </c:numRef>
          </c:yVal>
          <c:smooth val="1"/>
        </c:ser>
        <c:axId val="5643766"/>
        <c:axId val="50793895"/>
      </c:scatterChart>
      <c:valAx>
        <c:axId val="564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3895"/>
        <c:crosses val="autoZero"/>
        <c:crossBetween val="midCat"/>
        <c:dispUnits/>
      </c:valAx>
      <c:valAx>
        <c:axId val="507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76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10775"/>
          <c:w val="0.8905"/>
          <c:h val="0.776"/>
        </c:manualLayout>
      </c:layout>
      <c:scatterChart>
        <c:scatterStyle val="smoothMarker"/>
        <c:varyColors val="0"/>
        <c:ser>
          <c:idx val="0"/>
          <c:order val="0"/>
          <c:tx>
            <c:v>Vrev = 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'pre-anneal'!$B$53:$B$60</c:f>
              <c:numCache/>
            </c:numRef>
          </c:xVal>
          <c:yVal>
            <c:numRef>
              <c:f>'pre-anneal'!$G$53:$G$60</c:f>
              <c:numCache/>
            </c:numRef>
          </c:yVal>
          <c:smooth val="1"/>
        </c:ser>
        <c:axId val="54491872"/>
        <c:axId val="20664801"/>
      </c:scatterChart>
      <c:valAx>
        <c:axId val="54491872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64801"/>
        <c:crosses val="autoZero"/>
        <c:crossBetween val="midCat"/>
        <c:dispUnits/>
      </c:valAx>
      <c:valAx>
        <c:axId val="2066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918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'pre-anneal'!$B$41:$B$47</c:f>
              <c:numCache/>
            </c:numRef>
          </c:xVal>
          <c:yVal>
            <c:numRef>
              <c:f>'pre-anneal'!$G$41:$G$47</c:f>
              <c:numCache/>
            </c:numRef>
          </c:yVal>
          <c:smooth val="1"/>
        </c:ser>
        <c:axId val="51765482"/>
        <c:axId val="63236155"/>
      </c:scatterChart>
      <c:valAx>
        <c:axId val="51765482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36155"/>
        <c:crosses val="autoZero"/>
        <c:crossBetween val="midCat"/>
        <c:dispUnits/>
      </c:valAx>
      <c:valAx>
        <c:axId val="632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6548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'pre-anneal'!$B$29:$B$34</c:f>
              <c:numCache/>
            </c:numRef>
          </c:xVal>
          <c:yVal>
            <c:numRef>
              <c:f>'pre-anneal'!$G$29:$G$34</c:f>
              <c:numCache/>
            </c:numRef>
          </c:yVal>
          <c:smooth val="1"/>
        </c:ser>
        <c:axId val="32254484"/>
        <c:axId val="21854901"/>
      </c:scatterChart>
      <c:valAx>
        <c:axId val="32254484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54901"/>
        <c:crosses val="autoZero"/>
        <c:crossBetween val="midCat"/>
        <c:dispUnits/>
      </c:valAx>
      <c:valAx>
        <c:axId val="21854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44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'pre-anneal'!$B$17:$B$21</c:f>
              <c:numCache/>
            </c:numRef>
          </c:xVal>
          <c:yVal>
            <c:numRef>
              <c:f>'pre-anneal'!$G$17:$G$21</c:f>
              <c:numCache/>
            </c:numRef>
          </c:yVal>
          <c:smooth val="1"/>
        </c:ser>
        <c:axId val="62476382"/>
        <c:axId val="25416527"/>
      </c:scatterChart>
      <c:valAx>
        <c:axId val="62476382"/>
        <c:scaling>
          <c:orientation val="minMax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threshold 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6527"/>
        <c:crosses val="autoZero"/>
        <c:crossBetween val="midCat"/>
        <c:dispUnits/>
      </c:valAx>
      <c:valAx>
        <c:axId val="25416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763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 rev = 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'pre-anneal'!$B$99:$B$109</c:f>
              <c:numCache/>
            </c:numRef>
          </c:xVal>
          <c:yVal>
            <c:numRef>
              <c:f>'pre-anneal'!$G$99:$G$109</c:f>
              <c:numCache/>
            </c:numRef>
          </c:yVal>
          <c:smooth val="1"/>
        </c:ser>
        <c:axId val="27422152"/>
        <c:axId val="45472777"/>
      </c:scatterChart>
      <c:valAx>
        <c:axId val="27422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72777"/>
        <c:crosses val="autoZero"/>
        <c:crossBetween val="midCat"/>
        <c:dispUnits/>
      </c:valAx>
      <c:valAx>
        <c:axId val="4547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215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= 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'pre-anneal'!$B$115:$B$125</c:f>
              <c:numCache/>
            </c:numRef>
          </c:xVal>
          <c:yVal>
            <c:numRef>
              <c:f>'pre-anneal'!$G$115:$G$125</c:f>
              <c:numCache/>
            </c:numRef>
          </c:yVal>
          <c:smooth val="1"/>
        </c:ser>
        <c:axId val="6601810"/>
        <c:axId val="59416291"/>
      </c:scatterChart>
      <c:valAx>
        <c:axId val="660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16291"/>
        <c:crosses val="autoZero"/>
        <c:crossBetween val="midCat"/>
        <c:dispUnits/>
      </c:valAx>
      <c:valAx>
        <c:axId val="59416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'pre-anneal'!$S$3:$S$10</c:f>
              <c:numCache/>
            </c:numRef>
          </c:xVal>
          <c:yVal>
            <c:numRef>
              <c:f>'pre-anneal'!$T$3:$T$10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'pre-anneal'!$W$3:$W$9</c:f>
              <c:numCache/>
            </c:numRef>
          </c:xVal>
          <c:yVal>
            <c:numRef>
              <c:f>'pre-anneal'!$X$3:$X$9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'pre-anneal'!$W$13:$W$21</c:f>
              <c:numCache/>
            </c:numRef>
          </c:xVal>
          <c:yVal>
            <c:numRef>
              <c:f>'pre-anneal'!$X$13:$X$21</c:f>
              <c:numCache/>
            </c:numRef>
          </c:yVal>
          <c:smooth val="0"/>
        </c:ser>
        <c:axId val="64984572"/>
        <c:axId val="47990237"/>
      </c:scatterChart>
      <c:valAx>
        <c:axId val="6498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0237"/>
        <c:crosses val="autoZero"/>
        <c:crossBetween val="midCat"/>
        <c:dispUnits/>
      </c:valAx>
      <c:valAx>
        <c:axId val="47990237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Charge - Mean Value [fC]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45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79</xdr:row>
      <xdr:rowOff>114300</xdr:rowOff>
    </xdr:from>
    <xdr:to>
      <xdr:col>12</xdr:col>
      <xdr:colOff>590550</xdr:colOff>
      <xdr:row>92</xdr:row>
      <xdr:rowOff>95250</xdr:rowOff>
    </xdr:to>
    <xdr:graphicFrame>
      <xdr:nvGraphicFramePr>
        <xdr:cNvPr id="1" name="Chart 1"/>
        <xdr:cNvGraphicFramePr/>
      </xdr:nvGraphicFramePr>
      <xdr:xfrm>
        <a:off x="4438650" y="12906375"/>
        <a:ext cx="35052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65</xdr:row>
      <xdr:rowOff>47625</xdr:rowOff>
    </xdr:from>
    <xdr:to>
      <xdr:col>13</xdr:col>
      <xdr:colOff>295275</xdr:colOff>
      <xdr:row>79</xdr:row>
      <xdr:rowOff>95250</xdr:rowOff>
    </xdr:to>
    <xdr:graphicFrame>
      <xdr:nvGraphicFramePr>
        <xdr:cNvPr id="2" name="Chart 2"/>
        <xdr:cNvGraphicFramePr/>
      </xdr:nvGraphicFramePr>
      <xdr:xfrm>
        <a:off x="4543425" y="10572750"/>
        <a:ext cx="37147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48</xdr:row>
      <xdr:rowOff>57150</xdr:rowOff>
    </xdr:from>
    <xdr:to>
      <xdr:col>13</xdr:col>
      <xdr:colOff>95250</xdr:colOff>
      <xdr:row>64</xdr:row>
      <xdr:rowOff>95250</xdr:rowOff>
    </xdr:to>
    <xdr:graphicFrame>
      <xdr:nvGraphicFramePr>
        <xdr:cNvPr id="3" name="Chart 3"/>
        <xdr:cNvGraphicFramePr/>
      </xdr:nvGraphicFramePr>
      <xdr:xfrm>
        <a:off x="4476750" y="7829550"/>
        <a:ext cx="35814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35</xdr:row>
      <xdr:rowOff>95250</xdr:rowOff>
    </xdr:from>
    <xdr:to>
      <xdr:col>13</xdr:col>
      <xdr:colOff>133350</xdr:colOff>
      <xdr:row>49</xdr:row>
      <xdr:rowOff>142875</xdr:rowOff>
    </xdr:to>
    <xdr:graphicFrame>
      <xdr:nvGraphicFramePr>
        <xdr:cNvPr id="4" name="Chart 4"/>
        <xdr:cNvGraphicFramePr/>
      </xdr:nvGraphicFramePr>
      <xdr:xfrm>
        <a:off x="4476750" y="5762625"/>
        <a:ext cx="361950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95250</xdr:colOff>
      <xdr:row>23</xdr:row>
      <xdr:rowOff>85725</xdr:rowOff>
    </xdr:from>
    <xdr:to>
      <xdr:col>13</xdr:col>
      <xdr:colOff>9525</xdr:colOff>
      <xdr:row>36</xdr:row>
      <xdr:rowOff>142875</xdr:rowOff>
    </xdr:to>
    <xdr:graphicFrame>
      <xdr:nvGraphicFramePr>
        <xdr:cNvPr id="5" name="Chart 5"/>
        <xdr:cNvGraphicFramePr/>
      </xdr:nvGraphicFramePr>
      <xdr:xfrm>
        <a:off x="4400550" y="3810000"/>
        <a:ext cx="357187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8</xdr:row>
      <xdr:rowOff>133350</xdr:rowOff>
    </xdr:from>
    <xdr:to>
      <xdr:col>13</xdr:col>
      <xdr:colOff>9525</xdr:colOff>
      <xdr:row>22</xdr:row>
      <xdr:rowOff>19050</xdr:rowOff>
    </xdr:to>
    <xdr:graphicFrame>
      <xdr:nvGraphicFramePr>
        <xdr:cNvPr id="6" name="Chart 6"/>
        <xdr:cNvGraphicFramePr/>
      </xdr:nvGraphicFramePr>
      <xdr:xfrm>
        <a:off x="4514850" y="1428750"/>
        <a:ext cx="345757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95</xdr:row>
      <xdr:rowOff>85725</xdr:rowOff>
    </xdr:from>
    <xdr:to>
      <xdr:col>13</xdr:col>
      <xdr:colOff>409575</xdr:colOff>
      <xdr:row>111</xdr:row>
      <xdr:rowOff>76200</xdr:rowOff>
    </xdr:to>
    <xdr:graphicFrame>
      <xdr:nvGraphicFramePr>
        <xdr:cNvPr id="7" name="Chart 7"/>
        <xdr:cNvGraphicFramePr/>
      </xdr:nvGraphicFramePr>
      <xdr:xfrm>
        <a:off x="4362450" y="15468600"/>
        <a:ext cx="40100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110</xdr:row>
      <xdr:rowOff>114300</xdr:rowOff>
    </xdr:from>
    <xdr:to>
      <xdr:col>13</xdr:col>
      <xdr:colOff>285750</xdr:colOff>
      <xdr:row>126</xdr:row>
      <xdr:rowOff>104775</xdr:rowOff>
    </xdr:to>
    <xdr:graphicFrame>
      <xdr:nvGraphicFramePr>
        <xdr:cNvPr id="8" name="Chart 8"/>
        <xdr:cNvGraphicFramePr/>
      </xdr:nvGraphicFramePr>
      <xdr:xfrm>
        <a:off x="4248150" y="17926050"/>
        <a:ext cx="4000500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28575</xdr:colOff>
      <xdr:row>11</xdr:row>
      <xdr:rowOff>19050</xdr:rowOff>
    </xdr:from>
    <xdr:to>
      <xdr:col>24</xdr:col>
      <xdr:colOff>323850</xdr:colOff>
      <xdr:row>27</xdr:row>
      <xdr:rowOff>47625</xdr:rowOff>
    </xdr:to>
    <xdr:graphicFrame>
      <xdr:nvGraphicFramePr>
        <xdr:cNvPr id="9" name="Chart 9"/>
        <xdr:cNvGraphicFramePr/>
      </xdr:nvGraphicFramePr>
      <xdr:xfrm>
        <a:off x="10429875" y="1800225"/>
        <a:ext cx="456247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84</xdr:row>
      <xdr:rowOff>28575</xdr:rowOff>
    </xdr:from>
    <xdr:to>
      <xdr:col>14</xdr:col>
      <xdr:colOff>209550</xdr:colOff>
      <xdr:row>100</xdr:row>
      <xdr:rowOff>19050</xdr:rowOff>
    </xdr:to>
    <xdr:graphicFrame>
      <xdr:nvGraphicFramePr>
        <xdr:cNvPr id="1" name="Chart 1"/>
        <xdr:cNvGraphicFramePr/>
      </xdr:nvGraphicFramePr>
      <xdr:xfrm>
        <a:off x="4791075" y="13630275"/>
        <a:ext cx="39909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100</xdr:row>
      <xdr:rowOff>76200</xdr:rowOff>
    </xdr:from>
    <xdr:to>
      <xdr:col>14</xdr:col>
      <xdr:colOff>228600</xdr:colOff>
      <xdr:row>117</xdr:row>
      <xdr:rowOff>66675</xdr:rowOff>
    </xdr:to>
    <xdr:graphicFrame>
      <xdr:nvGraphicFramePr>
        <xdr:cNvPr id="2" name="Chart 2"/>
        <xdr:cNvGraphicFramePr/>
      </xdr:nvGraphicFramePr>
      <xdr:xfrm>
        <a:off x="4810125" y="16268700"/>
        <a:ext cx="3990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504825</xdr:colOff>
      <xdr:row>68</xdr:row>
      <xdr:rowOff>9525</xdr:rowOff>
    </xdr:from>
    <xdr:to>
      <xdr:col>14</xdr:col>
      <xdr:colOff>228600</xdr:colOff>
      <xdr:row>84</xdr:row>
      <xdr:rowOff>0</xdr:rowOff>
    </xdr:to>
    <xdr:graphicFrame>
      <xdr:nvGraphicFramePr>
        <xdr:cNvPr id="3" name="Chart 3"/>
        <xdr:cNvGraphicFramePr/>
      </xdr:nvGraphicFramePr>
      <xdr:xfrm>
        <a:off x="4810125" y="11020425"/>
        <a:ext cx="3990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333375</xdr:colOff>
      <xdr:row>53</xdr:row>
      <xdr:rowOff>85725</xdr:rowOff>
    </xdr:from>
    <xdr:to>
      <xdr:col>14</xdr:col>
      <xdr:colOff>247650</xdr:colOff>
      <xdr:row>68</xdr:row>
      <xdr:rowOff>95250</xdr:rowOff>
    </xdr:to>
    <xdr:graphicFrame>
      <xdr:nvGraphicFramePr>
        <xdr:cNvPr id="4" name="Chart 4"/>
        <xdr:cNvGraphicFramePr/>
      </xdr:nvGraphicFramePr>
      <xdr:xfrm>
        <a:off x="5248275" y="8667750"/>
        <a:ext cx="35718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257175</xdr:colOff>
      <xdr:row>39</xdr:row>
      <xdr:rowOff>47625</xdr:rowOff>
    </xdr:from>
    <xdr:to>
      <xdr:col>14</xdr:col>
      <xdr:colOff>352425</xdr:colOff>
      <xdr:row>53</xdr:row>
      <xdr:rowOff>76200</xdr:rowOff>
    </xdr:to>
    <xdr:graphicFrame>
      <xdr:nvGraphicFramePr>
        <xdr:cNvPr id="5" name="Chart 5"/>
        <xdr:cNvGraphicFramePr/>
      </xdr:nvGraphicFramePr>
      <xdr:xfrm>
        <a:off x="5172075" y="6362700"/>
        <a:ext cx="37528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276225</xdr:colOff>
      <xdr:row>25</xdr:row>
      <xdr:rowOff>142875</xdr:rowOff>
    </xdr:from>
    <xdr:to>
      <xdr:col>14</xdr:col>
      <xdr:colOff>171450</xdr:colOff>
      <xdr:row>39</xdr:row>
      <xdr:rowOff>47625</xdr:rowOff>
    </xdr:to>
    <xdr:graphicFrame>
      <xdr:nvGraphicFramePr>
        <xdr:cNvPr id="6" name="Chart 6"/>
        <xdr:cNvGraphicFramePr/>
      </xdr:nvGraphicFramePr>
      <xdr:xfrm>
        <a:off x="5191125" y="4191000"/>
        <a:ext cx="3552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542925</xdr:colOff>
      <xdr:row>13</xdr:row>
      <xdr:rowOff>133350</xdr:rowOff>
    </xdr:from>
    <xdr:to>
      <xdr:col>13</xdr:col>
      <xdr:colOff>219075</xdr:colOff>
      <xdr:row>25</xdr:row>
      <xdr:rowOff>142875</xdr:rowOff>
    </xdr:to>
    <xdr:graphicFrame>
      <xdr:nvGraphicFramePr>
        <xdr:cNvPr id="7" name="Chart 7"/>
        <xdr:cNvGraphicFramePr/>
      </xdr:nvGraphicFramePr>
      <xdr:xfrm>
        <a:off x="4848225" y="2238375"/>
        <a:ext cx="333375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514350</xdr:colOff>
      <xdr:row>0</xdr:row>
      <xdr:rowOff>0</xdr:rowOff>
    </xdr:from>
    <xdr:to>
      <xdr:col>18</xdr:col>
      <xdr:colOff>257175</xdr:colOff>
      <xdr:row>15</xdr:row>
      <xdr:rowOff>152400</xdr:rowOff>
    </xdr:to>
    <xdr:graphicFrame>
      <xdr:nvGraphicFramePr>
        <xdr:cNvPr id="8" name="Chart 8"/>
        <xdr:cNvGraphicFramePr/>
      </xdr:nvGraphicFramePr>
      <xdr:xfrm>
        <a:off x="7258050" y="0"/>
        <a:ext cx="401002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123825</xdr:colOff>
      <xdr:row>218</xdr:row>
      <xdr:rowOff>19050</xdr:rowOff>
    </xdr:from>
    <xdr:to>
      <xdr:col>12</xdr:col>
      <xdr:colOff>381000</xdr:colOff>
      <xdr:row>231</xdr:row>
      <xdr:rowOff>133350</xdr:rowOff>
    </xdr:to>
    <xdr:graphicFrame>
      <xdr:nvGraphicFramePr>
        <xdr:cNvPr id="9" name="Chart 9"/>
        <xdr:cNvGraphicFramePr/>
      </xdr:nvGraphicFramePr>
      <xdr:xfrm>
        <a:off x="4429125" y="35337750"/>
        <a:ext cx="3305175" cy="2219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123825</xdr:rowOff>
    </xdr:from>
    <xdr:to>
      <xdr:col>12</xdr:col>
      <xdr:colOff>581025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2457450" y="2552700"/>
        <a:ext cx="54387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tabSelected="1" workbookViewId="0" topLeftCell="K1">
      <selection activeCell="T6" sqref="T6"/>
    </sheetView>
  </sheetViews>
  <sheetFormatPr defaultColWidth="9.140625" defaultRowHeight="12.75"/>
  <cols>
    <col min="3" max="3" width="9.7109375" style="0" customWidth="1"/>
  </cols>
  <sheetData>
    <row r="1" spans="1:24" ht="12.75">
      <c r="A1" s="2" t="s">
        <v>15</v>
      </c>
      <c r="C1" t="s">
        <v>48</v>
      </c>
      <c r="E1" t="s">
        <v>49</v>
      </c>
      <c r="H1" t="s">
        <v>17</v>
      </c>
      <c r="Q1" t="s">
        <v>26</v>
      </c>
      <c r="R1" t="s">
        <v>26</v>
      </c>
      <c r="S1" s="8" t="s">
        <v>30</v>
      </c>
      <c r="T1" s="9"/>
      <c r="U1" t="s">
        <v>26</v>
      </c>
      <c r="W1" s="8" t="s">
        <v>34</v>
      </c>
      <c r="X1" s="9"/>
    </row>
    <row r="2" spans="19:25" ht="12.75">
      <c r="S2" s="4" t="s">
        <v>28</v>
      </c>
      <c r="T2" s="4" t="s">
        <v>32</v>
      </c>
      <c r="U2" s="4" t="s">
        <v>31</v>
      </c>
      <c r="W2" s="4" t="s">
        <v>28</v>
      </c>
      <c r="X2" s="4" t="s">
        <v>32</v>
      </c>
      <c r="Y2" s="10" t="s">
        <v>31</v>
      </c>
    </row>
    <row r="3" spans="1:25" ht="12.75">
      <c r="A3" t="s">
        <v>7</v>
      </c>
      <c r="S3" s="4">
        <v>30</v>
      </c>
      <c r="T3" s="4">
        <v>1.17</v>
      </c>
      <c r="U3" s="4">
        <f>T3/4.07</f>
        <v>0.2874692874692874</v>
      </c>
      <c r="W3" s="4">
        <v>20</v>
      </c>
      <c r="X3" s="4">
        <v>1.18</v>
      </c>
      <c r="Y3" s="4">
        <f>X3/4.07</f>
        <v>0.2899262899262899</v>
      </c>
    </row>
    <row r="4" spans="19:25" ht="12.75">
      <c r="S4" s="4">
        <v>40</v>
      </c>
      <c r="T4" s="4">
        <v>1.44</v>
      </c>
      <c r="U4" s="4">
        <f aca="true" t="shared" si="0" ref="U4:U10">T4/4.07</f>
        <v>0.3538083538083538</v>
      </c>
      <c r="W4" s="4">
        <v>30</v>
      </c>
      <c r="X4" s="4">
        <v>1.59</v>
      </c>
      <c r="Y4" s="4">
        <f aca="true" t="shared" si="1" ref="Y4:Y9">X4/4.07</f>
        <v>0.3906633906633907</v>
      </c>
    </row>
    <row r="5" spans="1:25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S5" s="4">
        <v>50</v>
      </c>
      <c r="T5" s="4">
        <v>1.72</v>
      </c>
      <c r="U5" s="4">
        <f t="shared" si="0"/>
        <v>0.42260442260442255</v>
      </c>
      <c r="W5" s="4">
        <v>40</v>
      </c>
      <c r="X5" s="4">
        <v>2.48</v>
      </c>
      <c r="Y5" s="4">
        <f t="shared" si="1"/>
        <v>0.6093366093366093</v>
      </c>
    </row>
    <row r="6" spans="1:25" ht="12.75">
      <c r="A6">
        <v>80</v>
      </c>
      <c r="B6">
        <f>(A6+6.0483)/80.7811</f>
        <v>1.065203370590398</v>
      </c>
      <c r="C6">
        <v>12875</v>
      </c>
      <c r="D6">
        <v>2208</v>
      </c>
      <c r="E6">
        <v>105</v>
      </c>
      <c r="F6">
        <v>590</v>
      </c>
      <c r="G6">
        <f>(F6+E6)/(D6-14*3)</f>
        <v>0.3208679593721145</v>
      </c>
      <c r="S6" s="4">
        <v>60</v>
      </c>
      <c r="T6" s="4">
        <v>1.92</v>
      </c>
      <c r="U6" s="4">
        <f t="shared" si="0"/>
        <v>0.4717444717444717</v>
      </c>
      <c r="W6" s="4">
        <v>50</v>
      </c>
      <c r="X6" s="4">
        <v>3.78</v>
      </c>
      <c r="Y6" s="4">
        <f t="shared" si="1"/>
        <v>0.9287469287469287</v>
      </c>
    </row>
    <row r="7" spans="1:25" ht="12.75">
      <c r="A7">
        <v>90</v>
      </c>
      <c r="B7">
        <f>(A7+6.0483)/80.7811</f>
        <v>1.1889947029688877</v>
      </c>
      <c r="C7">
        <v>10626</v>
      </c>
      <c r="D7">
        <v>2288</v>
      </c>
      <c r="E7">
        <v>66</v>
      </c>
      <c r="F7">
        <v>409</v>
      </c>
      <c r="G7">
        <f>(F7+E7)/(D7-14*3)</f>
        <v>0.21148708815672307</v>
      </c>
      <c r="S7" s="4">
        <v>70</v>
      </c>
      <c r="T7" s="4">
        <v>2.17</v>
      </c>
      <c r="U7" s="4">
        <f t="shared" si="0"/>
        <v>0.5331695331695331</v>
      </c>
      <c r="W7" s="4">
        <v>60</v>
      </c>
      <c r="X7" s="4">
        <v>4</v>
      </c>
      <c r="Y7" s="4">
        <f t="shared" si="1"/>
        <v>0.9828009828009827</v>
      </c>
    </row>
    <row r="8" spans="1:25" ht="12.75">
      <c r="A8">
        <v>100</v>
      </c>
      <c r="B8">
        <f>(A8+6.0483)/80.7811</f>
        <v>1.312786035347377</v>
      </c>
      <c r="C8">
        <v>8584</v>
      </c>
      <c r="D8">
        <v>2228</v>
      </c>
      <c r="E8">
        <v>52</v>
      </c>
      <c r="F8">
        <v>286</v>
      </c>
      <c r="G8">
        <f>(F8+E8)/(D8-14*3)</f>
        <v>0.1546203110704483</v>
      </c>
      <c r="S8" s="4">
        <v>80</v>
      </c>
      <c r="T8" s="7">
        <v>2.37</v>
      </c>
      <c r="U8" s="4">
        <f t="shared" si="0"/>
        <v>0.5823095823095823</v>
      </c>
      <c r="W8" s="4">
        <v>70</v>
      </c>
      <c r="X8" s="4">
        <v>4.07</v>
      </c>
      <c r="Y8" s="4">
        <f t="shared" si="1"/>
        <v>1</v>
      </c>
    </row>
    <row r="9" spans="1:25" ht="12.75">
      <c r="A9">
        <v>120</v>
      </c>
      <c r="B9">
        <f>(A9+6.0483)/80.7811</f>
        <v>1.5603687001043562</v>
      </c>
      <c r="C9">
        <v>6269</v>
      </c>
      <c r="D9">
        <v>2285</v>
      </c>
      <c r="E9">
        <v>21</v>
      </c>
      <c r="F9">
        <v>187</v>
      </c>
      <c r="G9">
        <f>(F9+E9)/(D9-14*3)</f>
        <v>0.0927329469460544</v>
      </c>
      <c r="S9" s="4">
        <v>90</v>
      </c>
      <c r="T9" s="4">
        <v>2.5</v>
      </c>
      <c r="U9" s="4">
        <f t="shared" si="0"/>
        <v>0.6142506142506142</v>
      </c>
      <c r="W9" s="4">
        <v>80</v>
      </c>
      <c r="X9" s="4">
        <v>4.07</v>
      </c>
      <c r="Y9" s="4">
        <f t="shared" si="1"/>
        <v>1</v>
      </c>
    </row>
    <row r="10" spans="15:21" ht="12.75">
      <c r="O10" s="3" t="s">
        <v>18</v>
      </c>
      <c r="P10" s="3" t="s">
        <v>19</v>
      </c>
      <c r="S10" s="4">
        <v>100</v>
      </c>
      <c r="T10" s="4">
        <v>2.57</v>
      </c>
      <c r="U10" s="4">
        <f t="shared" si="0"/>
        <v>0.6314496314496314</v>
      </c>
    </row>
    <row r="11" spans="15:16" ht="12.75">
      <c r="O11" s="3">
        <v>1.06</v>
      </c>
      <c r="P11" s="3">
        <f>0.5894*O11^2-2.3571*O11+2.4554</f>
        <v>0.6191238400000001</v>
      </c>
    </row>
    <row r="12" spans="15:25" ht="12.75">
      <c r="O12" s="3">
        <v>1.15</v>
      </c>
      <c r="P12" s="3">
        <f aca="true" t="shared" si="2" ref="P12:P20">0.5894*O12^2-2.3571*O12+2.4554</f>
        <v>0.5242165000000003</v>
      </c>
      <c r="W12" t="s">
        <v>28</v>
      </c>
      <c r="X12" t="s">
        <v>33</v>
      </c>
      <c r="Y12" t="s">
        <v>31</v>
      </c>
    </row>
    <row r="13" spans="15:25" ht="12.75">
      <c r="O13" s="3">
        <v>1.16</v>
      </c>
      <c r="P13" s="3">
        <f t="shared" si="2"/>
        <v>0.5142606400000003</v>
      </c>
      <c r="W13">
        <v>30</v>
      </c>
      <c r="X13">
        <v>1.05</v>
      </c>
      <c r="Y13">
        <v>0.25798525798525795</v>
      </c>
    </row>
    <row r="14" spans="1:25" ht="12.75">
      <c r="A14" t="s">
        <v>8</v>
      </c>
      <c r="O14" s="4">
        <v>1.17</v>
      </c>
      <c r="P14" s="4">
        <f t="shared" si="2"/>
        <v>0.5044226600000004</v>
      </c>
      <c r="W14">
        <v>40</v>
      </c>
      <c r="X14">
        <v>1.25</v>
      </c>
      <c r="Y14">
        <v>0.3071253071253071</v>
      </c>
    </row>
    <row r="15" spans="15:25" ht="12.75">
      <c r="O15" s="3">
        <v>1.18</v>
      </c>
      <c r="P15" s="3">
        <f t="shared" si="2"/>
        <v>0.49470256000000035</v>
      </c>
      <c r="W15">
        <v>50</v>
      </c>
      <c r="X15">
        <v>1.5</v>
      </c>
      <c r="Y15">
        <v>0.36855036855036855</v>
      </c>
    </row>
    <row r="16" spans="1:25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O16" s="3">
        <v>1.02</v>
      </c>
      <c r="P16" s="3">
        <f t="shared" si="2"/>
        <v>0.66436976</v>
      </c>
      <c r="W16">
        <v>60</v>
      </c>
      <c r="X16">
        <v>1.7</v>
      </c>
      <c r="Y16">
        <v>0.41769041769041765</v>
      </c>
    </row>
    <row r="17" spans="1:25" ht="12.75">
      <c r="A17">
        <v>80</v>
      </c>
      <c r="B17">
        <f>(A17+6.0483)/80.7811</f>
        <v>1.065203370590398</v>
      </c>
      <c r="C17">
        <v>21147</v>
      </c>
      <c r="D17">
        <v>2223</v>
      </c>
      <c r="E17">
        <v>224</v>
      </c>
      <c r="F17">
        <v>1129</v>
      </c>
      <c r="G17">
        <f>(F17+E17)/(D17-14*3)</f>
        <v>0.6203576341127923</v>
      </c>
      <c r="O17" s="3">
        <v>1.03</v>
      </c>
      <c r="P17" s="3">
        <f t="shared" si="2"/>
        <v>0.6528814600000001</v>
      </c>
      <c r="W17">
        <v>70</v>
      </c>
      <c r="X17">
        <v>1.85</v>
      </c>
      <c r="Y17">
        <v>0.45454545454545453</v>
      </c>
    </row>
    <row r="18" spans="1:25" ht="12.75">
      <c r="A18">
        <v>90</v>
      </c>
      <c r="B18">
        <f>(A18+6.0483)/80.7811</f>
        <v>1.1889947029688877</v>
      </c>
      <c r="C18">
        <v>17817</v>
      </c>
      <c r="D18">
        <v>2300</v>
      </c>
      <c r="E18">
        <v>168</v>
      </c>
      <c r="F18">
        <v>911</v>
      </c>
      <c r="G18">
        <f>(F18+E18)/(D18-14*3)</f>
        <v>0.47785651018600533</v>
      </c>
      <c r="O18" s="5">
        <v>1.04</v>
      </c>
      <c r="P18" s="3">
        <f t="shared" si="2"/>
        <v>0.6415110400000001</v>
      </c>
      <c r="W18">
        <v>80</v>
      </c>
      <c r="X18">
        <v>2</v>
      </c>
      <c r="Y18">
        <v>0.49140049140049136</v>
      </c>
    </row>
    <row r="19" spans="1:25" ht="12.75">
      <c r="A19">
        <v>100</v>
      </c>
      <c r="B19">
        <f>(A19+6.0483)/80.7811</f>
        <v>1.312786035347377</v>
      </c>
      <c r="C19">
        <v>14479</v>
      </c>
      <c r="D19">
        <v>2306</v>
      </c>
      <c r="E19">
        <v>147</v>
      </c>
      <c r="F19">
        <v>696</v>
      </c>
      <c r="G19">
        <f>(F19+E19)/(D19-14*3)</f>
        <v>0.37234982332155475</v>
      </c>
      <c r="O19" s="3">
        <v>1.05</v>
      </c>
      <c r="P19" s="3">
        <f t="shared" si="2"/>
        <v>0.6302585</v>
      </c>
      <c r="W19">
        <v>100</v>
      </c>
      <c r="X19">
        <v>2.17</v>
      </c>
      <c r="Y19">
        <v>0.5331695331695331</v>
      </c>
    </row>
    <row r="20" spans="1:25" ht="12.75">
      <c r="A20">
        <v>120</v>
      </c>
      <c r="B20">
        <f>(A20+6.0483)/80.7811</f>
        <v>1.5603687001043562</v>
      </c>
      <c r="C20">
        <v>10841</v>
      </c>
      <c r="D20">
        <v>2351</v>
      </c>
      <c r="E20">
        <v>70</v>
      </c>
      <c r="F20">
        <v>439</v>
      </c>
      <c r="G20">
        <f>(F20+E20)/(D20-14*3)</f>
        <v>0.22044174967518407</v>
      </c>
      <c r="O20" s="3">
        <v>1.06</v>
      </c>
      <c r="P20" s="3">
        <f t="shared" si="2"/>
        <v>0.6191238400000001</v>
      </c>
      <c r="W20">
        <v>250</v>
      </c>
      <c r="X20">
        <v>2.8</v>
      </c>
      <c r="Y20">
        <v>0.6879606879606879</v>
      </c>
    </row>
    <row r="21" spans="1:25" ht="12.75">
      <c r="A21">
        <v>150</v>
      </c>
      <c r="B21">
        <f>(A21+6.0483)/80.7811</f>
        <v>1.9317426972398248</v>
      </c>
      <c r="C21">
        <v>7158</v>
      </c>
      <c r="D21">
        <v>2303</v>
      </c>
      <c r="E21">
        <v>38</v>
      </c>
      <c r="F21">
        <v>187</v>
      </c>
      <c r="G21">
        <f>(F21+E21)/(D21-14*3)</f>
        <v>0.09951348960636887</v>
      </c>
      <c r="W21">
        <v>500</v>
      </c>
      <c r="X21">
        <v>3.15</v>
      </c>
      <c r="Y21">
        <v>0.7739557739557739</v>
      </c>
    </row>
    <row r="22" spans="23:25" ht="12.75">
      <c r="W22">
        <v>700</v>
      </c>
      <c r="X22">
        <v>3.2</v>
      </c>
      <c r="Y22">
        <v>0.7862407862407862</v>
      </c>
    </row>
    <row r="23" spans="23:25" ht="12.75">
      <c r="W23">
        <v>800</v>
      </c>
      <c r="X23">
        <v>3.28</v>
      </c>
      <c r="Y23">
        <v>0.8058968058968058</v>
      </c>
    </row>
    <row r="24" spans="23:25" ht="12.75">
      <c r="W24">
        <v>900</v>
      </c>
      <c r="X24">
        <v>3.32</v>
      </c>
      <c r="Y24">
        <v>0.8157248157248156</v>
      </c>
    </row>
    <row r="25" spans="15:16" ht="12.75">
      <c r="O25" s="3" t="s">
        <v>29</v>
      </c>
      <c r="P25" s="3" t="s">
        <v>20</v>
      </c>
    </row>
    <row r="26" spans="1:16" ht="12.75">
      <c r="A26" t="s">
        <v>9</v>
      </c>
      <c r="O26" s="3">
        <v>1.4</v>
      </c>
      <c r="P26" s="3">
        <f>0.3048*O26^3-1.2298*O26^2+0.9044*O26+0.8356</f>
        <v>0.5277232</v>
      </c>
    </row>
    <row r="27" spans="15:16" ht="12.75">
      <c r="O27" s="3">
        <v>1.42</v>
      </c>
      <c r="P27" s="3">
        <f aca="true" t="shared" si="3" ref="P27:P35">0.3048*O27^3-1.2298*O27^2+0.9044*O27+0.8356</f>
        <v>0.5128094623999998</v>
      </c>
    </row>
    <row r="28" spans="1:16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O28" s="3">
        <v>1.43</v>
      </c>
      <c r="P28" s="3">
        <f t="shared" si="3"/>
        <v>0.5053722735999998</v>
      </c>
    </row>
    <row r="29" spans="1:16" ht="12.75">
      <c r="A29">
        <v>80</v>
      </c>
      <c r="B29">
        <f aca="true" t="shared" si="4" ref="B29:B34">(A29+6.0483)/80.7811</f>
        <v>1.065203370590398</v>
      </c>
      <c r="C29">
        <v>27989</v>
      </c>
      <c r="D29">
        <v>2240</v>
      </c>
      <c r="E29">
        <v>259</v>
      </c>
      <c r="F29">
        <v>1418</v>
      </c>
      <c r="G29">
        <f aca="true" t="shared" si="5" ref="G29:G34">(F29+E29)/(D29-14*3)</f>
        <v>0.7629663330300273</v>
      </c>
      <c r="O29" s="4">
        <v>1.44</v>
      </c>
      <c r="P29" s="4">
        <f t="shared" si="3"/>
        <v>0.4979506432000004</v>
      </c>
    </row>
    <row r="30" spans="1:22" ht="12.75">
      <c r="A30">
        <v>90</v>
      </c>
      <c r="B30">
        <f t="shared" si="4"/>
        <v>1.1889947029688877</v>
      </c>
      <c r="C30">
        <v>24778</v>
      </c>
      <c r="D30">
        <v>2251</v>
      </c>
      <c r="E30">
        <v>269</v>
      </c>
      <c r="F30">
        <v>1294</v>
      </c>
      <c r="G30">
        <f t="shared" si="5"/>
        <v>0.707559981892259</v>
      </c>
      <c r="O30" s="3">
        <v>1.24</v>
      </c>
      <c r="P30" s="3">
        <f t="shared" si="3"/>
        <v>0.6472545152000001</v>
      </c>
      <c r="T30" t="s">
        <v>28</v>
      </c>
      <c r="U30" t="s">
        <v>33</v>
      </c>
      <c r="V30" t="s">
        <v>31</v>
      </c>
    </row>
    <row r="31" spans="1:16" ht="12.75">
      <c r="A31" s="1">
        <v>100</v>
      </c>
      <c r="B31">
        <f t="shared" si="4"/>
        <v>1.312786035347377</v>
      </c>
      <c r="C31" s="1">
        <v>21267</v>
      </c>
      <c r="D31" s="1">
        <v>2299</v>
      </c>
      <c r="E31" s="1">
        <v>210</v>
      </c>
      <c r="F31" s="1">
        <v>1096</v>
      </c>
      <c r="G31">
        <f t="shared" si="5"/>
        <v>0.5786442179884803</v>
      </c>
      <c r="O31" s="3">
        <v>1.25</v>
      </c>
      <c r="P31" s="3">
        <f t="shared" si="3"/>
        <v>0.6398500000000001</v>
      </c>
    </row>
    <row r="32" spans="1:16" ht="12.75">
      <c r="A32">
        <v>120</v>
      </c>
      <c r="B32">
        <f t="shared" si="4"/>
        <v>1.5603687001043562</v>
      </c>
      <c r="C32" s="1">
        <v>16543</v>
      </c>
      <c r="D32" s="1">
        <v>2349</v>
      </c>
      <c r="E32" s="1">
        <v>154</v>
      </c>
      <c r="F32" s="1">
        <v>791</v>
      </c>
      <c r="G32">
        <f t="shared" si="5"/>
        <v>0.4096228868660598</v>
      </c>
      <c r="O32" s="3">
        <v>1.26</v>
      </c>
      <c r="P32" s="3">
        <f t="shared" si="3"/>
        <v>0.6324281247999998</v>
      </c>
    </row>
    <row r="33" spans="1:16" ht="12.75">
      <c r="A33">
        <v>150</v>
      </c>
      <c r="B33">
        <f t="shared" si="4"/>
        <v>1.9317426972398248</v>
      </c>
      <c r="C33" s="1">
        <v>10767</v>
      </c>
      <c r="D33" s="1">
        <v>2308</v>
      </c>
      <c r="E33" s="1">
        <v>63</v>
      </c>
      <c r="F33" s="1">
        <v>375</v>
      </c>
      <c r="G33">
        <f t="shared" si="5"/>
        <v>0.19329214474845544</v>
      </c>
      <c r="O33" s="5">
        <v>1.27</v>
      </c>
      <c r="P33" s="3">
        <f t="shared" si="3"/>
        <v>0.6249907183999998</v>
      </c>
    </row>
    <row r="34" spans="1:16" ht="12.75">
      <c r="A34">
        <v>180</v>
      </c>
      <c r="B34">
        <f t="shared" si="4"/>
        <v>2.3031166943752934</v>
      </c>
      <c r="C34" s="1">
        <v>7430</v>
      </c>
      <c r="D34" s="1">
        <v>2304</v>
      </c>
      <c r="E34" s="1">
        <v>49</v>
      </c>
      <c r="F34" s="1">
        <v>219</v>
      </c>
      <c r="G34">
        <f t="shared" si="5"/>
        <v>0.1184792219274978</v>
      </c>
      <c r="O34" s="3">
        <v>1.28</v>
      </c>
      <c r="P34" s="3">
        <f t="shared" si="3"/>
        <v>0.6175396095999998</v>
      </c>
    </row>
    <row r="35" spans="15:16" ht="12.75">
      <c r="O35" s="3">
        <v>1.29</v>
      </c>
      <c r="P35" s="3">
        <f t="shared" si="3"/>
        <v>0.6100766271999999</v>
      </c>
    </row>
    <row r="38" spans="1:16" ht="12.75">
      <c r="A38" t="s">
        <v>10</v>
      </c>
      <c r="O38" s="3" t="s">
        <v>29</v>
      </c>
      <c r="P38" s="3" t="s">
        <v>21</v>
      </c>
    </row>
    <row r="39" spans="15:16" ht="12.75">
      <c r="O39" s="3">
        <v>1.6</v>
      </c>
      <c r="P39" s="3">
        <f>0.2189*O39^3-1.0471*O39^2+0.9802*O39+0.7961</f>
        <v>0.5804583999999999</v>
      </c>
    </row>
    <row r="40" spans="1:16" ht="12.75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  <c r="O40" s="3">
        <v>1.7</v>
      </c>
      <c r="P40" s="3">
        <f aca="true" t="shared" si="6" ref="P40:P48">0.2189*O40^3-1.0471*O40^2+0.9802*O40+0.7961</f>
        <v>0.5117767000000004</v>
      </c>
    </row>
    <row r="41" spans="1:16" ht="12.75">
      <c r="A41">
        <v>80</v>
      </c>
      <c r="B41">
        <f aca="true" t="shared" si="7" ref="B41:B47">(A41+6.0483)/80.7811</f>
        <v>1.065203370590398</v>
      </c>
      <c r="C41">
        <v>35197</v>
      </c>
      <c r="D41">
        <v>2230</v>
      </c>
      <c r="E41">
        <v>399</v>
      </c>
      <c r="F41">
        <v>1595</v>
      </c>
      <c r="G41">
        <f>(F41+E41)/(D41-14*3)</f>
        <v>0.9113345521023766</v>
      </c>
      <c r="O41" s="3">
        <v>1.71</v>
      </c>
      <c r="P41" s="3">
        <f t="shared" si="6"/>
        <v>0.5049630779000001</v>
      </c>
    </row>
    <row r="42" spans="1:16" ht="12.75">
      <c r="A42">
        <v>90</v>
      </c>
      <c r="B42">
        <f t="shared" si="7"/>
        <v>1.1889947029688877</v>
      </c>
      <c r="C42">
        <v>32001</v>
      </c>
      <c r="D42">
        <v>2256</v>
      </c>
      <c r="E42">
        <v>343</v>
      </c>
      <c r="F42">
        <v>1533</v>
      </c>
      <c r="G42">
        <f aca="true" t="shared" si="8" ref="G42:G47">(F42+E42)/(D42-14*3)</f>
        <v>0.8473351400180669</v>
      </c>
      <c r="O42" s="4">
        <v>1.72</v>
      </c>
      <c r="P42" s="4">
        <f t="shared" si="6"/>
        <v>0.4981646272000002</v>
      </c>
    </row>
    <row r="43" spans="1:16" ht="12.75">
      <c r="A43" s="1">
        <v>100</v>
      </c>
      <c r="B43">
        <f t="shared" si="7"/>
        <v>1.312786035347377</v>
      </c>
      <c r="C43">
        <v>28317</v>
      </c>
      <c r="D43">
        <v>2264</v>
      </c>
      <c r="E43">
        <v>322</v>
      </c>
      <c r="F43">
        <v>1428</v>
      </c>
      <c r="G43">
        <f t="shared" si="8"/>
        <v>0.7875787578757876</v>
      </c>
      <c r="O43" s="3">
        <v>1.49</v>
      </c>
      <c r="P43" s="3">
        <f t="shared" si="6"/>
        <v>0.6560413261</v>
      </c>
    </row>
    <row r="44" spans="1:16" ht="12.75">
      <c r="A44">
        <v>120</v>
      </c>
      <c r="B44">
        <f t="shared" si="7"/>
        <v>1.5603687001043562</v>
      </c>
      <c r="C44">
        <v>22633</v>
      </c>
      <c r="D44">
        <v>2177</v>
      </c>
      <c r="E44">
        <v>245</v>
      </c>
      <c r="F44">
        <v>1050</v>
      </c>
      <c r="G44">
        <f t="shared" si="8"/>
        <v>0.6065573770491803</v>
      </c>
      <c r="O44" s="3">
        <v>1.5</v>
      </c>
      <c r="P44" s="3">
        <f t="shared" si="6"/>
        <v>0.6492125</v>
      </c>
    </row>
    <row r="45" spans="1:16" ht="12.75">
      <c r="A45">
        <v>150</v>
      </c>
      <c r="B45">
        <f t="shared" si="7"/>
        <v>1.9317426972398248</v>
      </c>
      <c r="C45">
        <v>15591</v>
      </c>
      <c r="D45">
        <v>2294</v>
      </c>
      <c r="E45">
        <v>136</v>
      </c>
      <c r="F45">
        <v>639</v>
      </c>
      <c r="G45">
        <f t="shared" si="8"/>
        <v>0.3441385435168739</v>
      </c>
      <c r="O45" s="5">
        <v>1.51</v>
      </c>
      <c r="P45" s="3">
        <f t="shared" si="6"/>
        <v>0.6423712639000003</v>
      </c>
    </row>
    <row r="46" spans="1:16" ht="12.75">
      <c r="A46">
        <v>180</v>
      </c>
      <c r="B46">
        <f t="shared" si="7"/>
        <v>2.3031166943752934</v>
      </c>
      <c r="C46">
        <v>10957</v>
      </c>
      <c r="D46">
        <v>2302</v>
      </c>
      <c r="E46">
        <v>70</v>
      </c>
      <c r="F46">
        <v>355</v>
      </c>
      <c r="G46">
        <f t="shared" si="8"/>
        <v>0.18805309734513273</v>
      </c>
      <c r="O46" s="5">
        <v>1.52</v>
      </c>
      <c r="P46" s="3">
        <f t="shared" si="6"/>
        <v>0.6355189312000002</v>
      </c>
    </row>
    <row r="47" spans="1:16" ht="12.75">
      <c r="A47">
        <v>210</v>
      </c>
      <c r="B47">
        <f t="shared" si="7"/>
        <v>2.674490691510762</v>
      </c>
      <c r="C47">
        <v>7886</v>
      </c>
      <c r="D47">
        <v>2316</v>
      </c>
      <c r="E47">
        <v>45</v>
      </c>
      <c r="F47">
        <v>209</v>
      </c>
      <c r="G47">
        <f t="shared" si="8"/>
        <v>0.11169744942832015</v>
      </c>
      <c r="O47" s="3">
        <v>1.53</v>
      </c>
      <c r="P47" s="3">
        <f t="shared" si="6"/>
        <v>0.6286568153000001</v>
      </c>
    </row>
    <row r="48" spans="15:16" ht="12.75">
      <c r="O48" s="3">
        <v>1.54</v>
      </c>
      <c r="P48" s="3">
        <f t="shared" si="6"/>
        <v>0.6217862296000005</v>
      </c>
    </row>
    <row r="50" ht="12.75">
      <c r="A50" t="s">
        <v>11</v>
      </c>
    </row>
    <row r="52" spans="1:16" ht="12.75">
      <c r="A52" t="s">
        <v>0</v>
      </c>
      <c r="B52" t="s">
        <v>1</v>
      </c>
      <c r="C52" t="s">
        <v>2</v>
      </c>
      <c r="D52" t="s">
        <v>3</v>
      </c>
      <c r="E52" t="s">
        <v>4</v>
      </c>
      <c r="F52" t="s">
        <v>5</v>
      </c>
      <c r="G52" t="s">
        <v>6</v>
      </c>
      <c r="O52" s="3" t="s">
        <v>29</v>
      </c>
      <c r="P52" s="3" t="s">
        <v>22</v>
      </c>
    </row>
    <row r="53" spans="1:16" ht="12.75">
      <c r="A53">
        <v>80</v>
      </c>
      <c r="B53">
        <f aca="true" t="shared" si="9" ref="B53:B60">(A53+6.0483)/80.7811</f>
        <v>1.065203370590398</v>
      </c>
      <c r="C53">
        <v>43003</v>
      </c>
      <c r="D53">
        <v>2212</v>
      </c>
      <c r="E53">
        <v>416</v>
      </c>
      <c r="F53">
        <v>1631</v>
      </c>
      <c r="G53">
        <f>(F53+E53)/(D53-14*3)</f>
        <v>0.9433179723502304</v>
      </c>
      <c r="O53" s="3">
        <v>1.8</v>
      </c>
      <c r="P53" s="3">
        <f>0.5784*O53^6-7.132*O53^5+35.746*O53^4-92.912*O53^3+131.7*O53^2-96.816*O53+29.849</f>
        <v>0.5813062015998973</v>
      </c>
    </row>
    <row r="54" spans="1:16" ht="12.75">
      <c r="A54">
        <v>90</v>
      </c>
      <c r="B54">
        <f t="shared" si="9"/>
        <v>1.1889947029688877</v>
      </c>
      <c r="C54">
        <v>38457</v>
      </c>
      <c r="D54">
        <v>2184</v>
      </c>
      <c r="E54">
        <v>329</v>
      </c>
      <c r="F54">
        <v>1569</v>
      </c>
      <c r="G54">
        <f aca="true" t="shared" si="10" ref="G54:G60">(F54+E54)/(D54-14*3)</f>
        <v>0.8860877684407096</v>
      </c>
      <c r="O54" s="3">
        <v>1.9</v>
      </c>
      <c r="P54" s="3">
        <f aca="true" t="shared" si="11" ref="P54:P62">0.5784*O54^6-7.132*O54^5+35.746*O54^4-92.912*O54^3+131.7*O54^2-96.816*O54+29.849</f>
        <v>0.5135954903999611</v>
      </c>
    </row>
    <row r="55" spans="1:16" ht="12.75">
      <c r="A55" s="1">
        <v>100</v>
      </c>
      <c r="B55">
        <f t="shared" si="9"/>
        <v>1.312786035347377</v>
      </c>
      <c r="C55">
        <v>34506</v>
      </c>
      <c r="D55">
        <v>2172</v>
      </c>
      <c r="E55">
        <v>311</v>
      </c>
      <c r="F55">
        <v>1454</v>
      </c>
      <c r="G55">
        <f t="shared" si="10"/>
        <v>0.8286384976525821</v>
      </c>
      <c r="O55" s="3">
        <v>1.91</v>
      </c>
      <c r="P55" s="3">
        <f t="shared" si="11"/>
        <v>0.5070218757023603</v>
      </c>
    </row>
    <row r="56" spans="1:16" ht="12.75">
      <c r="A56">
        <v>120</v>
      </c>
      <c r="B56">
        <f t="shared" si="9"/>
        <v>1.5603687001043562</v>
      </c>
      <c r="C56">
        <v>28545</v>
      </c>
      <c r="D56">
        <v>2248</v>
      </c>
      <c r="E56">
        <v>304</v>
      </c>
      <c r="F56">
        <v>1344</v>
      </c>
      <c r="G56">
        <f t="shared" si="10"/>
        <v>0.7470534904805077</v>
      </c>
      <c r="O56" s="4">
        <v>1.92</v>
      </c>
      <c r="P56" s="4">
        <f t="shared" si="11"/>
        <v>0.5005005029482099</v>
      </c>
    </row>
    <row r="57" spans="1:16" ht="12.75">
      <c r="A57">
        <v>150</v>
      </c>
      <c r="B57">
        <f t="shared" si="9"/>
        <v>1.9317426972398248</v>
      </c>
      <c r="C57">
        <v>20027</v>
      </c>
      <c r="D57">
        <v>2189</v>
      </c>
      <c r="E57">
        <v>161</v>
      </c>
      <c r="F57">
        <v>912</v>
      </c>
      <c r="G57">
        <f t="shared" si="10"/>
        <v>0.4997671169073125</v>
      </c>
      <c r="O57" s="3">
        <v>1.93</v>
      </c>
      <c r="P57" s="3">
        <f t="shared" si="11"/>
        <v>0.49403494069802534</v>
      </c>
    </row>
    <row r="58" spans="1:16" ht="12.75">
      <c r="A58">
        <v>180</v>
      </c>
      <c r="B58">
        <f t="shared" si="9"/>
        <v>2.3031166943752934</v>
      </c>
      <c r="C58">
        <v>14525</v>
      </c>
      <c r="D58">
        <v>2212</v>
      </c>
      <c r="E58">
        <v>154</v>
      </c>
      <c r="F58">
        <v>543</v>
      </c>
      <c r="G58">
        <f t="shared" si="10"/>
        <v>0.32119815668202767</v>
      </c>
      <c r="O58" s="3">
        <v>1.71</v>
      </c>
      <c r="P58" s="3">
        <f t="shared" si="11"/>
        <v>0.6426171942777721</v>
      </c>
    </row>
    <row r="59" spans="1:16" ht="12.75">
      <c r="A59">
        <v>210</v>
      </c>
      <c r="B59">
        <f t="shared" si="9"/>
        <v>2.674490691510762</v>
      </c>
      <c r="C59">
        <v>10761</v>
      </c>
      <c r="D59">
        <v>2209</v>
      </c>
      <c r="E59">
        <v>70</v>
      </c>
      <c r="F59">
        <v>333</v>
      </c>
      <c r="G59">
        <f t="shared" si="10"/>
        <v>0.1859713890170743</v>
      </c>
      <c r="O59" s="5">
        <v>1.72</v>
      </c>
      <c r="P59" s="3">
        <f t="shared" si="11"/>
        <v>0.6359108403878615</v>
      </c>
    </row>
    <row r="60" spans="1:16" ht="12.75">
      <c r="A60">
        <v>240</v>
      </c>
      <c r="B60">
        <f t="shared" si="9"/>
        <v>3.0458646886462306</v>
      </c>
      <c r="C60">
        <v>8098</v>
      </c>
      <c r="D60">
        <v>2247</v>
      </c>
      <c r="E60">
        <v>28</v>
      </c>
      <c r="F60">
        <v>213</v>
      </c>
      <c r="G60">
        <f t="shared" si="10"/>
        <v>0.10929705215419501</v>
      </c>
      <c r="O60" s="5">
        <v>1.73</v>
      </c>
      <c r="P60" s="3">
        <f t="shared" si="11"/>
        <v>0.6291655384126038</v>
      </c>
    </row>
    <row r="61" spans="15:16" ht="12.75">
      <c r="O61" s="3">
        <v>1.74</v>
      </c>
      <c r="P61" s="3">
        <f t="shared" si="11"/>
        <v>0.622386637593916</v>
      </c>
    </row>
    <row r="62" spans="15:16" ht="12.75">
      <c r="O62" s="3">
        <v>1.75</v>
      </c>
      <c r="P62" s="3">
        <f t="shared" si="11"/>
        <v>0.6155794921874751</v>
      </c>
    </row>
    <row r="64" ht="12.75">
      <c r="A64" t="s">
        <v>12</v>
      </c>
    </row>
    <row r="66" spans="1:7" ht="12.75">
      <c r="A66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</row>
    <row r="67" spans="1:16" ht="12.75">
      <c r="A67">
        <v>80</v>
      </c>
      <c r="B67">
        <f aca="true" t="shared" si="12" ref="B67:B75">(A67+6.0483)/80.7811</f>
        <v>1.065203370590398</v>
      </c>
      <c r="C67">
        <v>49857</v>
      </c>
      <c r="D67">
        <v>2289</v>
      </c>
      <c r="E67">
        <v>346</v>
      </c>
      <c r="F67">
        <v>1786</v>
      </c>
      <c r="G67">
        <f>(F67+E67)/(D67-14*3)</f>
        <v>0.9488206497552292</v>
      </c>
      <c r="O67" s="3" t="s">
        <v>29</v>
      </c>
      <c r="P67" s="3" t="s">
        <v>23</v>
      </c>
    </row>
    <row r="68" spans="1:16" ht="12.75">
      <c r="A68">
        <v>90</v>
      </c>
      <c r="B68">
        <f t="shared" si="12"/>
        <v>1.1889947029688877</v>
      </c>
      <c r="C68">
        <v>43699</v>
      </c>
      <c r="D68">
        <v>2297</v>
      </c>
      <c r="E68">
        <v>378</v>
      </c>
      <c r="F68">
        <v>1732</v>
      </c>
      <c r="G68">
        <f>(F68+E68)/(D68-14*3)</f>
        <v>0.9356984478935698</v>
      </c>
      <c r="O68" s="3">
        <v>2.2</v>
      </c>
      <c r="P68" s="3">
        <f>0.1068*O68^3-0.6664*O68^2+0.8759*O68+0.648</f>
        <v>0.48681040000000053</v>
      </c>
    </row>
    <row r="69" spans="1:16" ht="12.75">
      <c r="A69" s="1">
        <v>100</v>
      </c>
      <c r="B69">
        <f t="shared" si="12"/>
        <v>1.312786035347377</v>
      </c>
      <c r="C69">
        <v>39245</v>
      </c>
      <c r="D69">
        <v>2270</v>
      </c>
      <c r="E69">
        <v>343</v>
      </c>
      <c r="F69">
        <v>1613</v>
      </c>
      <c r="G69">
        <f aca="true" t="shared" si="13" ref="G69:G75">(F69+E69)/(D69-14*3)</f>
        <v>0.8779174147217235</v>
      </c>
      <c r="O69" s="3">
        <v>2.1</v>
      </c>
      <c r="P69" s="3">
        <f aca="true" t="shared" si="14" ref="P69:P77">0.1068*O69^3-0.6664*O69^2+0.8759*O69+0.648</f>
        <v>0.5376408000000003</v>
      </c>
    </row>
    <row r="70" spans="1:16" ht="12.75">
      <c r="A70">
        <v>120</v>
      </c>
      <c r="B70">
        <f t="shared" si="12"/>
        <v>1.5603687001043562</v>
      </c>
      <c r="C70">
        <v>32519</v>
      </c>
      <c r="D70">
        <v>2197</v>
      </c>
      <c r="E70">
        <v>304</v>
      </c>
      <c r="F70">
        <v>1446</v>
      </c>
      <c r="G70">
        <f t="shared" si="13"/>
        <v>0.8120649651972158</v>
      </c>
      <c r="O70" s="3">
        <v>2.15</v>
      </c>
      <c r="P70" s="3">
        <f t="shared" si="14"/>
        <v>0.5121694500000001</v>
      </c>
    </row>
    <row r="71" spans="1:16" ht="12.75">
      <c r="A71">
        <v>150</v>
      </c>
      <c r="B71">
        <f t="shared" si="12"/>
        <v>1.9317426972398248</v>
      </c>
      <c r="C71">
        <v>24548</v>
      </c>
      <c r="D71">
        <v>2270</v>
      </c>
      <c r="E71">
        <v>266</v>
      </c>
      <c r="F71">
        <v>1142</v>
      </c>
      <c r="G71">
        <f t="shared" si="13"/>
        <v>0.6319569120287253</v>
      </c>
      <c r="O71" s="4">
        <v>2.17</v>
      </c>
      <c r="P71" s="3">
        <f t="shared" si="14"/>
        <v>0.5020078684000001</v>
      </c>
    </row>
    <row r="72" spans="1:16" ht="12.75">
      <c r="A72">
        <v>180</v>
      </c>
      <c r="B72">
        <f t="shared" si="12"/>
        <v>2.3031166943752934</v>
      </c>
      <c r="C72">
        <v>18217</v>
      </c>
      <c r="D72">
        <v>2254</v>
      </c>
      <c r="E72">
        <v>154</v>
      </c>
      <c r="F72">
        <v>777</v>
      </c>
      <c r="G72">
        <f t="shared" si="13"/>
        <v>0.4208860759493671</v>
      </c>
      <c r="O72" s="3">
        <v>2.18</v>
      </c>
      <c r="P72" s="3">
        <f t="shared" si="14"/>
        <v>0.4969354175999997</v>
      </c>
    </row>
    <row r="73" spans="1:16" ht="12.75">
      <c r="A73">
        <v>210</v>
      </c>
      <c r="B73">
        <f t="shared" si="12"/>
        <v>2.674490691510762</v>
      </c>
      <c r="C73">
        <v>13332</v>
      </c>
      <c r="D73">
        <v>2186</v>
      </c>
      <c r="E73">
        <v>94</v>
      </c>
      <c r="F73">
        <v>432</v>
      </c>
      <c r="G73">
        <f t="shared" si="13"/>
        <v>0.2453358208955224</v>
      </c>
      <c r="O73" s="3">
        <v>1.71</v>
      </c>
      <c r="P73" s="3">
        <f t="shared" si="14"/>
        <v>0.7311912948000002</v>
      </c>
    </row>
    <row r="74" spans="1:16" ht="12.75">
      <c r="A74">
        <v>240</v>
      </c>
      <c r="B74">
        <f t="shared" si="12"/>
        <v>3.0458646886462306</v>
      </c>
      <c r="C74">
        <v>10207</v>
      </c>
      <c r="D74">
        <v>2243</v>
      </c>
      <c r="E74">
        <v>73</v>
      </c>
      <c r="F74">
        <v>339</v>
      </c>
      <c r="G74">
        <f t="shared" si="13"/>
        <v>0.18718764198091775</v>
      </c>
      <c r="O74" s="5">
        <v>1.72</v>
      </c>
      <c r="P74" s="3">
        <f t="shared" si="14"/>
        <v>0.7265164864000003</v>
      </c>
    </row>
    <row r="75" spans="1:16" ht="12.75">
      <c r="A75">
        <v>270</v>
      </c>
      <c r="B75">
        <f t="shared" si="12"/>
        <v>3.4172386857816988</v>
      </c>
      <c r="C75">
        <v>7996</v>
      </c>
      <c r="D75">
        <v>2277</v>
      </c>
      <c r="E75">
        <v>38</v>
      </c>
      <c r="F75">
        <v>205</v>
      </c>
      <c r="G75">
        <f t="shared" si="13"/>
        <v>0.1087248322147651</v>
      </c>
      <c r="O75" s="5">
        <v>1.73</v>
      </c>
      <c r="P75" s="3">
        <f t="shared" si="14"/>
        <v>0.7218186156</v>
      </c>
    </row>
    <row r="76" spans="15:16" ht="12.75">
      <c r="O76" s="3">
        <v>1.74</v>
      </c>
      <c r="P76" s="3">
        <f t="shared" si="14"/>
        <v>0.7170983232</v>
      </c>
    </row>
    <row r="77" spans="15:16" ht="12.75">
      <c r="O77" s="3">
        <v>1.75</v>
      </c>
      <c r="P77" s="3">
        <f t="shared" si="14"/>
        <v>0.7123562500000004</v>
      </c>
    </row>
    <row r="79" ht="12.75">
      <c r="A79" t="s">
        <v>14</v>
      </c>
    </row>
    <row r="81" spans="1:16" ht="12.75">
      <c r="A81" t="s">
        <v>0</v>
      </c>
      <c r="B81" t="s">
        <v>1</v>
      </c>
      <c r="C81" t="s">
        <v>2</v>
      </c>
      <c r="D81" t="s">
        <v>3</v>
      </c>
      <c r="E81" t="s">
        <v>4</v>
      </c>
      <c r="F81" t="s">
        <v>5</v>
      </c>
      <c r="G81" t="s">
        <v>6</v>
      </c>
      <c r="O81" s="3" t="s">
        <v>29</v>
      </c>
      <c r="P81" s="3" t="s">
        <v>24</v>
      </c>
    </row>
    <row r="82" spans="1:16" ht="12.75">
      <c r="A82">
        <v>80</v>
      </c>
      <c r="B82">
        <f aca="true" t="shared" si="15" ref="B82:B92">(A82+6.0483)/80.7811</f>
        <v>1.065203370590398</v>
      </c>
      <c r="C82">
        <v>54935</v>
      </c>
      <c r="D82">
        <v>2404</v>
      </c>
      <c r="E82">
        <v>395.5</v>
      </c>
      <c r="F82">
        <v>1919</v>
      </c>
      <c r="G82">
        <f aca="true" t="shared" si="16" ref="G82:G92">(F82+E82)/(D82-14*3)</f>
        <v>0.9798899237933955</v>
      </c>
      <c r="O82" s="3">
        <v>2.2</v>
      </c>
      <c r="P82" s="3">
        <f>0.2299*O82^3-1.6787*O82^2+3.5478*O82-1.5377</f>
        <v>0.5905271999999995</v>
      </c>
    </row>
    <row r="83" spans="1:16" ht="12.75">
      <c r="A83">
        <v>90</v>
      </c>
      <c r="B83">
        <f t="shared" si="15"/>
        <v>1.1889947029688877</v>
      </c>
      <c r="C83">
        <v>49079</v>
      </c>
      <c r="D83">
        <v>2295</v>
      </c>
      <c r="E83">
        <v>374.5</v>
      </c>
      <c r="F83">
        <v>1774</v>
      </c>
      <c r="G83">
        <f t="shared" si="16"/>
        <v>0.9536173990235242</v>
      </c>
      <c r="O83" s="3">
        <v>2.3</v>
      </c>
      <c r="P83" s="3">
        <f aca="true" t="shared" si="17" ref="P83:P91">0.2299*O83^3-1.6787*O83^2+3.5478*O83-1.5377</f>
        <v>0.539110299999999</v>
      </c>
    </row>
    <row r="84" spans="1:16" ht="12.75">
      <c r="A84" s="1">
        <v>100</v>
      </c>
      <c r="B84">
        <f t="shared" si="15"/>
        <v>1.312786035347377</v>
      </c>
      <c r="C84">
        <v>44152</v>
      </c>
      <c r="D84">
        <v>2306</v>
      </c>
      <c r="E84">
        <v>301</v>
      </c>
      <c r="F84">
        <v>1736</v>
      </c>
      <c r="G84">
        <f t="shared" si="16"/>
        <v>0.8997349823321554</v>
      </c>
      <c r="O84" s="3">
        <v>2.4</v>
      </c>
      <c r="P84" s="3">
        <f t="shared" si="17"/>
        <v>0.4858456000000002</v>
      </c>
    </row>
    <row r="85" spans="1:16" ht="12.75">
      <c r="A85">
        <v>120</v>
      </c>
      <c r="B85">
        <f t="shared" si="15"/>
        <v>1.5603687001043562</v>
      </c>
      <c r="C85">
        <v>36547</v>
      </c>
      <c r="D85">
        <v>2333</v>
      </c>
      <c r="E85">
        <v>350</v>
      </c>
      <c r="F85">
        <v>1639</v>
      </c>
      <c r="G85">
        <f t="shared" si="16"/>
        <v>0.8681798341335661</v>
      </c>
      <c r="O85" s="5">
        <v>2.38</v>
      </c>
      <c r="P85" s="3">
        <f t="shared" si="17"/>
        <v>0.4965801528</v>
      </c>
    </row>
    <row r="86" spans="1:16" ht="12.75">
      <c r="A86">
        <v>150</v>
      </c>
      <c r="B86">
        <f t="shared" si="15"/>
        <v>1.9317426972398248</v>
      </c>
      <c r="C86">
        <v>27601</v>
      </c>
      <c r="D86">
        <v>2230</v>
      </c>
      <c r="E86">
        <v>287</v>
      </c>
      <c r="F86">
        <v>1255</v>
      </c>
      <c r="G86">
        <f t="shared" si="16"/>
        <v>0.7047531992687386</v>
      </c>
      <c r="O86" s="4">
        <v>2.37</v>
      </c>
      <c r="P86" s="3">
        <f t="shared" si="17"/>
        <v>0.5019369546999988</v>
      </c>
    </row>
    <row r="87" spans="1:16" ht="12.75">
      <c r="A87">
        <v>180</v>
      </c>
      <c r="B87">
        <f t="shared" si="15"/>
        <v>2.3031166943752934</v>
      </c>
      <c r="C87">
        <v>21349</v>
      </c>
      <c r="D87">
        <v>2341</v>
      </c>
      <c r="E87">
        <v>262</v>
      </c>
      <c r="F87">
        <v>1010</v>
      </c>
      <c r="G87">
        <f t="shared" si="16"/>
        <v>0.553284036537625</v>
      </c>
      <c r="O87" s="3">
        <v>2.36</v>
      </c>
      <c r="P87" s="3">
        <f t="shared" si="17"/>
        <v>0.5072849343999986</v>
      </c>
    </row>
    <row r="88" spans="1:16" ht="12.75">
      <c r="A88">
        <v>210</v>
      </c>
      <c r="B88">
        <f t="shared" si="15"/>
        <v>2.674490691510762</v>
      </c>
      <c r="C88">
        <v>15877</v>
      </c>
      <c r="D88">
        <v>2347</v>
      </c>
      <c r="E88">
        <v>115</v>
      </c>
      <c r="F88">
        <v>617</v>
      </c>
      <c r="G88">
        <f t="shared" si="16"/>
        <v>0.3175704989154013</v>
      </c>
      <c r="O88" s="5">
        <v>1.72</v>
      </c>
      <c r="P88" s="3">
        <f t="shared" si="17"/>
        <v>0.7680841152000006</v>
      </c>
    </row>
    <row r="89" spans="1:16" ht="12.75">
      <c r="A89">
        <v>240</v>
      </c>
      <c r="B89">
        <f t="shared" si="15"/>
        <v>3.0458646886462306</v>
      </c>
      <c r="C89">
        <v>11929</v>
      </c>
      <c r="D89">
        <v>2277</v>
      </c>
      <c r="E89">
        <v>84</v>
      </c>
      <c r="F89">
        <v>378</v>
      </c>
      <c r="G89">
        <f t="shared" si="16"/>
        <v>0.20671140939597316</v>
      </c>
      <c r="O89" s="5">
        <v>1.73</v>
      </c>
      <c r="P89" s="3">
        <f t="shared" si="17"/>
        <v>0.7661699082999989</v>
      </c>
    </row>
    <row r="90" spans="1:16" ht="12.75">
      <c r="A90">
        <v>270</v>
      </c>
      <c r="B90">
        <f t="shared" si="15"/>
        <v>3.4172386857816988</v>
      </c>
      <c r="C90">
        <v>9188</v>
      </c>
      <c r="D90">
        <v>2246</v>
      </c>
      <c r="E90">
        <v>73</v>
      </c>
      <c r="F90">
        <v>264</v>
      </c>
      <c r="G90">
        <f t="shared" si="16"/>
        <v>0.1529038112522686</v>
      </c>
      <c r="O90" s="3">
        <v>1.74</v>
      </c>
      <c r="P90" s="3">
        <f t="shared" si="17"/>
        <v>0.7641585975999998</v>
      </c>
    </row>
    <row r="91" spans="1:16" ht="12.75">
      <c r="A91">
        <v>300</v>
      </c>
      <c r="B91">
        <f t="shared" si="15"/>
        <v>3.7886126829171674</v>
      </c>
      <c r="C91">
        <v>7268</v>
      </c>
      <c r="D91">
        <v>2271</v>
      </c>
      <c r="E91">
        <v>35</v>
      </c>
      <c r="F91">
        <v>158</v>
      </c>
      <c r="G91">
        <f t="shared" si="16"/>
        <v>0.08658591296545536</v>
      </c>
      <c r="O91" s="3">
        <v>1.75</v>
      </c>
      <c r="P91" s="3">
        <f t="shared" si="17"/>
        <v>0.7620515625</v>
      </c>
    </row>
    <row r="92" spans="1:7" ht="12.75">
      <c r="A92">
        <v>330</v>
      </c>
      <c r="B92">
        <f t="shared" si="15"/>
        <v>4.159986680052636</v>
      </c>
      <c r="C92">
        <v>5825</v>
      </c>
      <c r="D92">
        <v>2207</v>
      </c>
      <c r="E92">
        <v>31.5</v>
      </c>
      <c r="F92">
        <v>116</v>
      </c>
      <c r="G92">
        <f t="shared" si="16"/>
        <v>0.06812933025404157</v>
      </c>
    </row>
    <row r="96" spans="1:4" ht="12.75">
      <c r="A96" t="s">
        <v>13</v>
      </c>
      <c r="C96" s="6">
        <v>2E-05</v>
      </c>
      <c r="D96" s="6">
        <f>90-C96*15000</f>
        <v>89.7</v>
      </c>
    </row>
    <row r="97" spans="15:16" ht="12.75">
      <c r="O97" t="s">
        <v>18</v>
      </c>
      <c r="P97" t="s">
        <v>27</v>
      </c>
    </row>
    <row r="98" spans="1:16" ht="12.75">
      <c r="A98" t="s">
        <v>0</v>
      </c>
      <c r="B98" t="s">
        <v>1</v>
      </c>
      <c r="C98" t="s">
        <v>2</v>
      </c>
      <c r="D98" t="s">
        <v>3</v>
      </c>
      <c r="E98" t="s">
        <v>4</v>
      </c>
      <c r="F98" t="s">
        <v>5</v>
      </c>
      <c r="G98" t="s">
        <v>6</v>
      </c>
      <c r="O98">
        <v>2.2</v>
      </c>
      <c r="P98">
        <f>0.055*O98^3-0.3988*O98^2+0.5386*O98+0.7876</f>
        <v>0.627968</v>
      </c>
    </row>
    <row r="99" spans="1:16" ht="12.75">
      <c r="A99">
        <v>80</v>
      </c>
      <c r="B99">
        <f aca="true" t="shared" si="18" ref="B99:B109">(A99+6.0483)/80.7811</f>
        <v>1.065203370590398</v>
      </c>
      <c r="C99">
        <v>59446</v>
      </c>
      <c r="D99">
        <v>2212</v>
      </c>
      <c r="E99">
        <v>353</v>
      </c>
      <c r="F99">
        <v>1758</v>
      </c>
      <c r="G99">
        <f>(F99+E99)/(D99-14*3)</f>
        <v>0.9728110599078341</v>
      </c>
      <c r="O99" s="2">
        <v>2.5</v>
      </c>
      <c r="P99">
        <f aca="true" t="shared" si="19" ref="P99:P107">0.055*O99^3-0.3988*O99^2+0.5386*O99+0.7876</f>
        <v>0.5009750000000001</v>
      </c>
    </row>
    <row r="100" spans="1:16" ht="12.75">
      <c r="A100">
        <v>90</v>
      </c>
      <c r="B100">
        <f t="shared" si="18"/>
        <v>1.1889947029688877</v>
      </c>
      <c r="C100">
        <v>51492</v>
      </c>
      <c r="D100">
        <v>2142</v>
      </c>
      <c r="E100">
        <v>329</v>
      </c>
      <c r="F100">
        <v>1687</v>
      </c>
      <c r="G100">
        <f>(F100+E100)/(D100-14*3)</f>
        <v>0.96</v>
      </c>
      <c r="O100" s="1">
        <v>2.2</v>
      </c>
      <c r="P100">
        <f t="shared" si="19"/>
        <v>0.627968</v>
      </c>
    </row>
    <row r="101" spans="1:16" ht="12.75">
      <c r="A101" s="1">
        <v>100</v>
      </c>
      <c r="B101">
        <f t="shared" si="18"/>
        <v>1.312786035347377</v>
      </c>
      <c r="C101">
        <v>46455</v>
      </c>
      <c r="D101">
        <v>2151</v>
      </c>
      <c r="E101">
        <v>298</v>
      </c>
      <c r="F101">
        <v>1640</v>
      </c>
      <c r="G101">
        <f aca="true" t="shared" si="20" ref="G101:G109">(F101+E101)/(D101-14*3)</f>
        <v>0.918918918918919</v>
      </c>
      <c r="O101" s="1">
        <v>2.21</v>
      </c>
      <c r="P101">
        <f t="shared" si="19"/>
        <v>0.6237892749999999</v>
      </c>
    </row>
    <row r="102" spans="1:16" ht="12.75">
      <c r="A102">
        <v>120</v>
      </c>
      <c r="B102">
        <f t="shared" si="18"/>
        <v>1.5603687001043562</v>
      </c>
      <c r="C102">
        <v>38379</v>
      </c>
      <c r="D102">
        <v>2269</v>
      </c>
      <c r="E102">
        <v>318</v>
      </c>
      <c r="F102">
        <v>1635</v>
      </c>
      <c r="G102">
        <f t="shared" si="20"/>
        <v>0.8769645262685227</v>
      </c>
      <c r="O102" s="1">
        <v>2.22</v>
      </c>
      <c r="P102">
        <f t="shared" si="19"/>
        <v>0.6196037199999996</v>
      </c>
    </row>
    <row r="103" spans="1:16" ht="12.75">
      <c r="A103">
        <v>150</v>
      </c>
      <c r="B103">
        <f t="shared" si="18"/>
        <v>1.9317426972398248</v>
      </c>
      <c r="C103">
        <v>30896</v>
      </c>
      <c r="D103">
        <v>2287</v>
      </c>
      <c r="E103">
        <v>290</v>
      </c>
      <c r="F103">
        <v>1408</v>
      </c>
      <c r="G103">
        <f t="shared" si="20"/>
        <v>0.756347438752784</v>
      </c>
      <c r="O103">
        <v>2.1</v>
      </c>
      <c r="P103">
        <f t="shared" si="19"/>
        <v>0.6693070000000002</v>
      </c>
    </row>
    <row r="104" spans="1:16" ht="12.75">
      <c r="A104">
        <v>180</v>
      </c>
      <c r="B104">
        <f t="shared" si="18"/>
        <v>2.3031166943752934</v>
      </c>
      <c r="C104">
        <v>22957</v>
      </c>
      <c r="D104">
        <v>2194</v>
      </c>
      <c r="E104">
        <v>185</v>
      </c>
      <c r="F104">
        <v>1046</v>
      </c>
      <c r="G104">
        <f t="shared" si="20"/>
        <v>0.5720260223048327</v>
      </c>
      <c r="O104" s="1">
        <v>1.72</v>
      </c>
      <c r="P104">
        <f t="shared" si="19"/>
        <v>0.81404672</v>
      </c>
    </row>
    <row r="105" spans="1:16" ht="12.75">
      <c r="A105">
        <v>210</v>
      </c>
      <c r="B105">
        <f t="shared" si="18"/>
        <v>2.674490691510762</v>
      </c>
      <c r="C105">
        <v>17777</v>
      </c>
      <c r="D105">
        <v>2198</v>
      </c>
      <c r="E105">
        <v>161</v>
      </c>
      <c r="F105">
        <v>735</v>
      </c>
      <c r="G105">
        <f t="shared" si="20"/>
        <v>0.4155844155844156</v>
      </c>
      <c r="O105" s="1">
        <v>1.73</v>
      </c>
      <c r="P105">
        <f t="shared" si="19"/>
        <v>0.810583915</v>
      </c>
    </row>
    <row r="106" spans="1:16" ht="12.75">
      <c r="A106">
        <v>240</v>
      </c>
      <c r="B106">
        <f t="shared" si="18"/>
        <v>3.0458646886462306</v>
      </c>
      <c r="C106">
        <v>13688</v>
      </c>
      <c r="D106">
        <v>2284</v>
      </c>
      <c r="E106">
        <v>126</v>
      </c>
      <c r="F106">
        <v>492</v>
      </c>
      <c r="G106">
        <f t="shared" si="20"/>
        <v>0.27564674397859057</v>
      </c>
      <c r="O106">
        <v>1.74</v>
      </c>
      <c r="P106">
        <f t="shared" si="19"/>
        <v>0.80709844</v>
      </c>
    </row>
    <row r="107" spans="1:16" ht="12.75">
      <c r="A107">
        <v>270</v>
      </c>
      <c r="B107">
        <f t="shared" si="18"/>
        <v>3.4172386857816988</v>
      </c>
      <c r="C107">
        <v>10510</v>
      </c>
      <c r="D107">
        <v>2225</v>
      </c>
      <c r="E107">
        <v>59</v>
      </c>
      <c r="F107">
        <v>320</v>
      </c>
      <c r="G107">
        <f t="shared" si="20"/>
        <v>0.17361429225836006</v>
      </c>
      <c r="O107">
        <v>1.75</v>
      </c>
      <c r="P107">
        <f t="shared" si="19"/>
        <v>0.8035906249999999</v>
      </c>
    </row>
    <row r="108" spans="1:7" ht="12.75">
      <c r="A108">
        <v>300</v>
      </c>
      <c r="B108">
        <f t="shared" si="18"/>
        <v>3.7886126829171674</v>
      </c>
      <c r="C108">
        <v>8326</v>
      </c>
      <c r="D108">
        <v>2175</v>
      </c>
      <c r="E108">
        <v>31</v>
      </c>
      <c r="F108">
        <v>210</v>
      </c>
      <c r="G108">
        <f t="shared" si="20"/>
        <v>0.11298640412564463</v>
      </c>
    </row>
    <row r="109" spans="1:7" ht="12.75">
      <c r="A109">
        <v>330</v>
      </c>
      <c r="B109">
        <f t="shared" si="18"/>
        <v>4.159986680052636</v>
      </c>
      <c r="C109">
        <v>6727</v>
      </c>
      <c r="D109">
        <v>2202</v>
      </c>
      <c r="E109">
        <v>31</v>
      </c>
      <c r="F109">
        <v>134</v>
      </c>
      <c r="G109">
        <f t="shared" si="20"/>
        <v>0.0763888888888889</v>
      </c>
    </row>
    <row r="112" spans="1:4" ht="12.75">
      <c r="A112" t="s">
        <v>16</v>
      </c>
      <c r="C112" s="6">
        <v>2E-05</v>
      </c>
      <c r="D112" s="6">
        <f>100-C112*15000</f>
        <v>99.7</v>
      </c>
    </row>
    <row r="114" spans="1:16" ht="12.75">
      <c r="A114" t="s">
        <v>0</v>
      </c>
      <c r="B114" t="s">
        <v>1</v>
      </c>
      <c r="C114" t="s">
        <v>2</v>
      </c>
      <c r="D114" t="s">
        <v>3</v>
      </c>
      <c r="E114" t="s">
        <v>4</v>
      </c>
      <c r="F114" t="s">
        <v>5</v>
      </c>
      <c r="G114" t="s">
        <v>6</v>
      </c>
      <c r="O114" t="s">
        <v>18</v>
      </c>
      <c r="P114" t="s">
        <v>25</v>
      </c>
    </row>
    <row r="115" spans="1:16" ht="12.75">
      <c r="A115">
        <v>80</v>
      </c>
      <c r="B115">
        <f aca="true" t="shared" si="21" ref="B115:B125">(A115+6.0483)/80.7811</f>
        <v>1.065203370590398</v>
      </c>
      <c r="C115">
        <v>60098</v>
      </c>
      <c r="D115">
        <v>2251</v>
      </c>
      <c r="E115">
        <v>350</v>
      </c>
      <c r="F115">
        <v>1807</v>
      </c>
      <c r="G115">
        <f aca="true" t="shared" si="22" ref="G115:G125">(F115+E115)/(D115-14*3)</f>
        <v>0.9764599366229063</v>
      </c>
      <c r="O115">
        <v>2.4</v>
      </c>
      <c r="P115">
        <f>0.0591*O115^3-0.4386*O115^2+0.6569*O115+0.705</f>
        <v>0.5722224000000004</v>
      </c>
    </row>
    <row r="116" spans="1:16" ht="12.75">
      <c r="A116">
        <v>90</v>
      </c>
      <c r="B116">
        <f t="shared" si="21"/>
        <v>1.1889947029688877</v>
      </c>
      <c r="C116">
        <v>52724</v>
      </c>
      <c r="D116">
        <v>2241</v>
      </c>
      <c r="E116">
        <v>370</v>
      </c>
      <c r="F116">
        <v>1776</v>
      </c>
      <c r="G116">
        <f t="shared" si="22"/>
        <v>0.9758981355161437</v>
      </c>
      <c r="O116">
        <v>2.5</v>
      </c>
      <c r="P116">
        <f aca="true" t="shared" si="23" ref="P116:P124">0.0591*O116^3-0.4386*O116^2+0.6569*O116+0.705</f>
        <v>0.5294375000000001</v>
      </c>
    </row>
    <row r="117" spans="1:16" ht="12.75">
      <c r="A117" s="1">
        <v>100</v>
      </c>
      <c r="B117">
        <f t="shared" si="21"/>
        <v>1.312786035347377</v>
      </c>
      <c r="C117">
        <v>48990</v>
      </c>
      <c r="D117">
        <v>2266</v>
      </c>
      <c r="E117">
        <v>304</v>
      </c>
      <c r="F117">
        <v>1787</v>
      </c>
      <c r="G117">
        <f t="shared" si="22"/>
        <v>0.9401978417266187</v>
      </c>
      <c r="O117">
        <v>2.6</v>
      </c>
      <c r="P117">
        <f t="shared" si="23"/>
        <v>0.4867456000000002</v>
      </c>
    </row>
    <row r="118" spans="1:16" ht="12.75">
      <c r="A118">
        <v>120</v>
      </c>
      <c r="B118">
        <f t="shared" si="21"/>
        <v>1.5603687001043562</v>
      </c>
      <c r="C118">
        <v>40172</v>
      </c>
      <c r="D118">
        <v>2225</v>
      </c>
      <c r="E118">
        <v>318</v>
      </c>
      <c r="F118">
        <v>1587</v>
      </c>
      <c r="G118">
        <f t="shared" si="22"/>
        <v>0.8726523133302795</v>
      </c>
      <c r="O118" s="1">
        <v>2.55</v>
      </c>
      <c r="P118">
        <f t="shared" si="23"/>
        <v>0.5080577625000001</v>
      </c>
    </row>
    <row r="119" spans="1:16" ht="12.75">
      <c r="A119">
        <v>150</v>
      </c>
      <c r="B119">
        <f t="shared" si="21"/>
        <v>1.9317426972398248</v>
      </c>
      <c r="C119">
        <v>32116</v>
      </c>
      <c r="D119">
        <v>2166</v>
      </c>
      <c r="E119">
        <v>248</v>
      </c>
      <c r="F119">
        <v>1386</v>
      </c>
      <c r="G119">
        <f t="shared" si="22"/>
        <v>0.7693032015065914</v>
      </c>
      <c r="O119" s="1">
        <v>2.56</v>
      </c>
      <c r="P119">
        <f t="shared" si="23"/>
        <v>0.5037885055999999</v>
      </c>
    </row>
    <row r="120" spans="1:16" ht="12.75">
      <c r="A120">
        <v>180</v>
      </c>
      <c r="B120">
        <f t="shared" si="21"/>
        <v>2.3031166943752934</v>
      </c>
      <c r="C120">
        <v>25176</v>
      </c>
      <c r="D120">
        <v>2169</v>
      </c>
      <c r="E120">
        <v>227</v>
      </c>
      <c r="F120">
        <v>1117</v>
      </c>
      <c r="G120">
        <f t="shared" si="22"/>
        <v>0.6318758815232722</v>
      </c>
      <c r="O120" s="2">
        <v>2.57</v>
      </c>
      <c r="P120" s="2">
        <f t="shared" si="23"/>
        <v>0.49952230630000016</v>
      </c>
    </row>
    <row r="121" spans="1:16" ht="12.75">
      <c r="A121">
        <v>210</v>
      </c>
      <c r="B121">
        <f t="shared" si="21"/>
        <v>2.674490691510762</v>
      </c>
      <c r="C121">
        <v>19686</v>
      </c>
      <c r="D121">
        <v>2214</v>
      </c>
      <c r="E121">
        <v>150</v>
      </c>
      <c r="F121">
        <v>833</v>
      </c>
      <c r="G121">
        <f t="shared" si="22"/>
        <v>0.4525782688766114</v>
      </c>
      <c r="O121" s="1">
        <v>2.24</v>
      </c>
      <c r="P121">
        <f t="shared" si="23"/>
        <v>0.6399865984</v>
      </c>
    </row>
    <row r="122" spans="1:16" ht="12.75">
      <c r="A122">
        <v>240</v>
      </c>
      <c r="B122">
        <f t="shared" si="21"/>
        <v>3.0458646886462306</v>
      </c>
      <c r="C122">
        <v>15167</v>
      </c>
      <c r="D122">
        <v>2338</v>
      </c>
      <c r="E122">
        <v>105</v>
      </c>
      <c r="F122">
        <v>537</v>
      </c>
      <c r="G122">
        <f t="shared" si="22"/>
        <v>0.27961672473867594</v>
      </c>
      <c r="O122" s="1">
        <v>2.25</v>
      </c>
      <c r="P122">
        <f t="shared" si="23"/>
        <v>0.6357984375</v>
      </c>
    </row>
    <row r="123" spans="1:16" ht="12.75">
      <c r="A123">
        <v>270</v>
      </c>
      <c r="B123">
        <f t="shared" si="21"/>
        <v>3.4172386857816988</v>
      </c>
      <c r="C123">
        <v>11656</v>
      </c>
      <c r="D123">
        <v>2269</v>
      </c>
      <c r="E123">
        <v>66</v>
      </c>
      <c r="F123">
        <v>367</v>
      </c>
      <c r="G123">
        <f t="shared" si="22"/>
        <v>0.19443197126178716</v>
      </c>
      <c r="O123" s="1">
        <v>2.26</v>
      </c>
      <c r="P123">
        <f t="shared" si="23"/>
        <v>0.6316023416000004</v>
      </c>
    </row>
    <row r="124" spans="1:16" ht="12.75">
      <c r="A124">
        <v>300</v>
      </c>
      <c r="B124">
        <f t="shared" si="21"/>
        <v>3.7886126829171674</v>
      </c>
      <c r="C124">
        <v>9187</v>
      </c>
      <c r="D124">
        <v>2252</v>
      </c>
      <c r="E124">
        <v>49</v>
      </c>
      <c r="F124">
        <v>232</v>
      </c>
      <c r="G124">
        <f t="shared" si="22"/>
        <v>0.12714932126696832</v>
      </c>
      <c r="O124">
        <v>2.27</v>
      </c>
      <c r="P124">
        <f t="shared" si="23"/>
        <v>0.6273986653</v>
      </c>
    </row>
    <row r="125" spans="1:7" ht="12.75">
      <c r="A125">
        <v>330</v>
      </c>
      <c r="B125">
        <f t="shared" si="21"/>
        <v>4.159986680052636</v>
      </c>
      <c r="C125">
        <v>7195</v>
      </c>
      <c r="D125">
        <v>2258</v>
      </c>
      <c r="E125">
        <v>31</v>
      </c>
      <c r="F125">
        <v>178</v>
      </c>
      <c r="G125">
        <f t="shared" si="22"/>
        <v>0.09431407942238267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2"/>
  <sheetViews>
    <sheetView workbookViewId="0" topLeftCell="D1">
      <selection activeCell="K12" sqref="K12"/>
    </sheetView>
  </sheetViews>
  <sheetFormatPr defaultColWidth="9.140625" defaultRowHeight="12.75"/>
  <cols>
    <col min="3" max="3" width="9.7109375" style="0" customWidth="1"/>
  </cols>
  <sheetData>
    <row r="1" spans="1:12" ht="12.75">
      <c r="A1" s="2" t="s">
        <v>35</v>
      </c>
      <c r="E1" t="s">
        <v>48</v>
      </c>
      <c r="G1" t="s">
        <v>49</v>
      </c>
      <c r="J1" t="s">
        <v>28</v>
      </c>
      <c r="K1" t="s">
        <v>33</v>
      </c>
      <c r="L1" t="s">
        <v>31</v>
      </c>
    </row>
    <row r="2" spans="1:12" ht="12.75">
      <c r="A2" s="11">
        <v>38945</v>
      </c>
      <c r="J2">
        <v>30</v>
      </c>
      <c r="K2">
        <v>1.19</v>
      </c>
      <c r="L2">
        <f>K2/4.07</f>
        <v>0.29238329238329236</v>
      </c>
    </row>
    <row r="3" spans="1:12" ht="12.75">
      <c r="A3" t="s">
        <v>7</v>
      </c>
      <c r="E3" t="s">
        <v>50</v>
      </c>
      <c r="G3" t="s">
        <v>51</v>
      </c>
      <c r="J3">
        <v>40</v>
      </c>
      <c r="K3">
        <v>1.41</v>
      </c>
      <c r="L3">
        <f aca="true" t="shared" si="0" ref="L3:L8">K3/4.07</f>
        <v>0.3464373464373464</v>
      </c>
    </row>
    <row r="4" spans="10:12" ht="12.75">
      <c r="J4">
        <v>50</v>
      </c>
      <c r="K4">
        <v>1.7</v>
      </c>
      <c r="L4">
        <f t="shared" si="0"/>
        <v>0.41769041769041765</v>
      </c>
    </row>
    <row r="5" spans="1:12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J5">
        <v>60</v>
      </c>
      <c r="K5">
        <v>1.91</v>
      </c>
      <c r="L5">
        <f t="shared" si="0"/>
        <v>0.4692874692874692</v>
      </c>
    </row>
    <row r="6" spans="1:12" ht="12.75">
      <c r="A6">
        <v>80</v>
      </c>
      <c r="B6">
        <f>(A6+7.73955)/92.52511</f>
        <v>0.9482782565727292</v>
      </c>
      <c r="J6">
        <v>70</v>
      </c>
      <c r="K6">
        <v>2.13</v>
      </c>
      <c r="L6">
        <f t="shared" si="0"/>
        <v>0.5233415233415233</v>
      </c>
    </row>
    <row r="7" spans="1:12" ht="12.75">
      <c r="A7">
        <v>90</v>
      </c>
      <c r="B7">
        <f>(A7+7.73955)/92.52511</f>
        <v>1.0563570256765973</v>
      </c>
      <c r="J7">
        <v>80</v>
      </c>
      <c r="K7">
        <v>2.25</v>
      </c>
      <c r="L7">
        <f t="shared" si="0"/>
        <v>0.5528255528255528</v>
      </c>
    </row>
    <row r="8" spans="1:12" ht="12.75">
      <c r="A8">
        <v>100</v>
      </c>
      <c r="B8">
        <f>(A8+7.73955)/92.52511</f>
        <v>1.1644357947804655</v>
      </c>
      <c r="J8">
        <v>100</v>
      </c>
      <c r="K8">
        <v>2.51</v>
      </c>
      <c r="L8">
        <f t="shared" si="0"/>
        <v>0.6167076167076166</v>
      </c>
    </row>
    <row r="9" spans="1:12" ht="12.75">
      <c r="A9">
        <v>120</v>
      </c>
      <c r="B9">
        <f>(A9+7.73955)/92.52511</f>
        <v>1.3805933329882019</v>
      </c>
      <c r="J9">
        <v>250</v>
      </c>
      <c r="K9">
        <v>3.38</v>
      </c>
      <c r="L9">
        <f>K9/4.07</f>
        <v>0.8304668304668303</v>
      </c>
    </row>
    <row r="10" spans="10:12" ht="12.75">
      <c r="J10">
        <v>500</v>
      </c>
      <c r="K10">
        <v>3.71</v>
      </c>
      <c r="L10">
        <f>K10/4.07</f>
        <v>0.9115479115479115</v>
      </c>
    </row>
    <row r="11" spans="10:12" ht="12.75">
      <c r="J11">
        <v>600</v>
      </c>
      <c r="K11">
        <v>3.76</v>
      </c>
      <c r="L11">
        <f>K11/4.07</f>
        <v>0.9238329238329237</v>
      </c>
    </row>
    <row r="12" spans="10:12" ht="12.75">
      <c r="J12">
        <v>700</v>
      </c>
      <c r="K12">
        <v>3.8</v>
      </c>
      <c r="L12">
        <f>K12/4.07</f>
        <v>0.9336609336609335</v>
      </c>
    </row>
    <row r="13" spans="10:12" ht="12.75">
      <c r="J13">
        <v>800</v>
      </c>
      <c r="K13">
        <v>3.82</v>
      </c>
      <c r="L13">
        <f>K13/4.07</f>
        <v>0.9385749385749385</v>
      </c>
    </row>
    <row r="14" spans="1:12" ht="12.75">
      <c r="A14" t="s">
        <v>8</v>
      </c>
      <c r="I14" s="11"/>
      <c r="J14">
        <v>900</v>
      </c>
      <c r="K14">
        <v>3.7</v>
      </c>
      <c r="L14">
        <f>K14/4.07</f>
        <v>0.9090909090909091</v>
      </c>
    </row>
    <row r="16" spans="1:7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</row>
    <row r="17" spans="1:7" ht="12.75">
      <c r="A17">
        <v>80</v>
      </c>
      <c r="B17">
        <f>(A17+6.0483)/80.7811</f>
        <v>1.065203370590398</v>
      </c>
      <c r="C17">
        <v>21156</v>
      </c>
      <c r="D17">
        <v>2474</v>
      </c>
      <c r="E17">
        <v>255</v>
      </c>
      <c r="F17">
        <v>1238</v>
      </c>
      <c r="G17">
        <f>(E17+F17)/(D17-14*3)</f>
        <v>0.6138980263157895</v>
      </c>
    </row>
    <row r="18" spans="1:18" ht="12.75">
      <c r="A18">
        <v>90</v>
      </c>
      <c r="B18">
        <f>(A18+6.0483)/80.7811</f>
        <v>1.1889947029688877</v>
      </c>
      <c r="C18">
        <v>17685</v>
      </c>
      <c r="D18">
        <v>2399</v>
      </c>
      <c r="E18">
        <v>199</v>
      </c>
      <c r="F18">
        <v>983</v>
      </c>
      <c r="G18">
        <f>(E18+F18)/(D18-14*3)</f>
        <v>0.5014849384811201</v>
      </c>
      <c r="Q18" s="2">
        <v>1.19</v>
      </c>
      <c r="R18" s="2">
        <f>-9.2379*Q18^4+53.567*Q18^3-113.86*Q18^2+104.46*Q18-34.32</f>
        <v>0.49404306494097483</v>
      </c>
    </row>
    <row r="19" spans="1:18" ht="12.75">
      <c r="A19">
        <v>100</v>
      </c>
      <c r="B19">
        <f>(A19+6.0483)/80.7811</f>
        <v>1.312786035347377</v>
      </c>
      <c r="C19">
        <v>14916</v>
      </c>
      <c r="D19">
        <v>2535</v>
      </c>
      <c r="E19">
        <v>129</v>
      </c>
      <c r="F19">
        <v>743</v>
      </c>
      <c r="G19">
        <f>(E19+F19)/(D19-14*3)</f>
        <v>0.349779382270357</v>
      </c>
      <c r="Q19">
        <v>1.18</v>
      </c>
      <c r="R19" s="1">
        <f>-9.2379*Q19^4+53.567*Q19^3-113.86*Q19^2+104.46*Q19-34.32</f>
        <v>0.5061960748960033</v>
      </c>
    </row>
    <row r="20" spans="1:7" ht="12.75">
      <c r="A20">
        <v>120</v>
      </c>
      <c r="B20">
        <f>(A20+6.0483)/80.7811</f>
        <v>1.5603687001043562</v>
      </c>
      <c r="C20">
        <v>10759</v>
      </c>
      <c r="D20">
        <v>2518</v>
      </c>
      <c r="E20">
        <v>70</v>
      </c>
      <c r="F20">
        <v>452</v>
      </c>
      <c r="G20">
        <f>(E20+F20)/(D20-14*3)</f>
        <v>0.21082390953150243</v>
      </c>
    </row>
    <row r="21" spans="1:7" ht="12.75">
      <c r="A21">
        <v>150</v>
      </c>
      <c r="B21">
        <f>(A21+6.0483)/80.7811</f>
        <v>1.9317426972398248</v>
      </c>
      <c r="C21">
        <v>6990</v>
      </c>
      <c r="D21">
        <v>2448</v>
      </c>
      <c r="E21">
        <v>52</v>
      </c>
      <c r="F21">
        <v>202</v>
      </c>
      <c r="G21">
        <f>(E21+F21)/(D21-14*3)</f>
        <v>0.1055694098088113</v>
      </c>
    </row>
    <row r="28" ht="12.75">
      <c r="A28" t="s">
        <v>9</v>
      </c>
    </row>
    <row r="30" spans="1: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</row>
    <row r="31" spans="1:18" ht="12.75">
      <c r="A31">
        <v>80</v>
      </c>
      <c r="B31">
        <f aca="true" t="shared" si="1" ref="B31:B36">(A31+6.0483)/80.7811</f>
        <v>1.065203370590398</v>
      </c>
      <c r="C31">
        <v>28897</v>
      </c>
      <c r="D31">
        <v>2540</v>
      </c>
      <c r="E31">
        <v>346</v>
      </c>
      <c r="F31">
        <v>1685</v>
      </c>
      <c r="G31">
        <f aca="true" t="shared" si="2" ref="G31:G36">(E31+F31)/(D31-14*3)</f>
        <v>0.8130504403522818</v>
      </c>
      <c r="Q31">
        <v>1.39</v>
      </c>
      <c r="R31">
        <f>0.9592*Q31^4-6.431*Q31^3+16.111*Q31^2-18.446*Q31+8.718</f>
        <v>0.5156108962720012</v>
      </c>
    </row>
    <row r="32" spans="1:18" ht="12.75">
      <c r="A32">
        <v>90</v>
      </c>
      <c r="B32">
        <f t="shared" si="1"/>
        <v>1.1889947029688877</v>
      </c>
      <c r="C32">
        <v>25197</v>
      </c>
      <c r="D32">
        <v>2453</v>
      </c>
      <c r="E32">
        <v>231</v>
      </c>
      <c r="F32">
        <v>1375</v>
      </c>
      <c r="G32">
        <f t="shared" si="2"/>
        <v>0.6661136457901286</v>
      </c>
      <c r="Q32" s="2">
        <v>1.41</v>
      </c>
      <c r="R32">
        <f>0.9592*Q32^4-6.431*Q32^3+16.111*Q32^2-18.446*Q32+8.718</f>
        <v>0.5031827613119972</v>
      </c>
    </row>
    <row r="33" spans="1:18" ht="12.75">
      <c r="A33" s="1">
        <v>100</v>
      </c>
      <c r="B33">
        <f t="shared" si="1"/>
        <v>1.312786035347377</v>
      </c>
      <c r="C33" s="1">
        <v>21735</v>
      </c>
      <c r="D33" s="1">
        <v>2392</v>
      </c>
      <c r="E33" s="1">
        <v>220</v>
      </c>
      <c r="F33" s="1">
        <v>1122</v>
      </c>
      <c r="G33">
        <f t="shared" si="2"/>
        <v>0.571063829787234</v>
      </c>
      <c r="Q33">
        <v>1.42</v>
      </c>
      <c r="R33">
        <f>0.9592*Q33^4-6.431*Q33^3+16.111*Q33^2-18.446*Q33+8.718</f>
        <v>0.4970767784319996</v>
      </c>
    </row>
    <row r="34" spans="1:7" ht="12.75">
      <c r="A34">
        <v>120</v>
      </c>
      <c r="B34">
        <f t="shared" si="1"/>
        <v>1.5603687001043562</v>
      </c>
      <c r="C34" s="1">
        <v>16756</v>
      </c>
      <c r="D34" s="1">
        <v>2465</v>
      </c>
      <c r="E34" s="1">
        <v>175</v>
      </c>
      <c r="F34" s="1">
        <v>831</v>
      </c>
      <c r="G34">
        <f t="shared" si="2"/>
        <v>0.4151877837391663</v>
      </c>
    </row>
    <row r="35" spans="1:7" ht="12.75">
      <c r="A35">
        <v>150</v>
      </c>
      <c r="B35">
        <f t="shared" si="1"/>
        <v>1.9317426972398248</v>
      </c>
      <c r="C35" s="1">
        <v>10672</v>
      </c>
      <c r="D35" s="1">
        <v>2448</v>
      </c>
      <c r="E35" s="1">
        <v>70</v>
      </c>
      <c r="F35" s="1">
        <v>425</v>
      </c>
      <c r="G35">
        <f t="shared" si="2"/>
        <v>0.2057356608478803</v>
      </c>
    </row>
    <row r="36" spans="1:7" ht="12.75">
      <c r="A36">
        <v>180</v>
      </c>
      <c r="B36">
        <f t="shared" si="1"/>
        <v>2.3031166943752934</v>
      </c>
      <c r="C36" s="1">
        <v>7772</v>
      </c>
      <c r="D36" s="1">
        <v>2439</v>
      </c>
      <c r="E36" s="1">
        <v>42</v>
      </c>
      <c r="F36" s="1">
        <v>243</v>
      </c>
      <c r="G36">
        <f t="shared" si="2"/>
        <v>0.11889862327909888</v>
      </c>
    </row>
    <row r="41" ht="12.75">
      <c r="A41" t="s">
        <v>10</v>
      </c>
    </row>
    <row r="43" spans="1:13" ht="12.7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M43" t="s">
        <v>6</v>
      </c>
    </row>
    <row r="44" spans="1:18" ht="12.75">
      <c r="A44">
        <v>80</v>
      </c>
      <c r="B44">
        <f aca="true" t="shared" si="3" ref="B44:B50">(A44+6.0483)/80.7811</f>
        <v>1.065203370590398</v>
      </c>
      <c r="C44">
        <v>36550</v>
      </c>
      <c r="D44">
        <v>2441</v>
      </c>
      <c r="E44">
        <v>360</v>
      </c>
      <c r="F44">
        <v>1792</v>
      </c>
      <c r="G44">
        <f>(E44+F44)/(D44-14*3)</f>
        <v>0.8970404335139641</v>
      </c>
      <c r="Q44">
        <v>1.71</v>
      </c>
      <c r="R44">
        <f>-0.0108*Q44^4+0.3057*Q44^3-1.311*Q44^2+1.3469*Q44+0.5907</f>
        <v>0.4966245059520005</v>
      </c>
    </row>
    <row r="45" spans="1:18" ht="12.75">
      <c r="A45">
        <v>90</v>
      </c>
      <c r="B45">
        <f t="shared" si="3"/>
        <v>1.1889947029688877</v>
      </c>
      <c r="C45">
        <v>32336</v>
      </c>
      <c r="D45">
        <v>2374</v>
      </c>
      <c r="E45">
        <v>311</v>
      </c>
      <c r="F45">
        <v>1601</v>
      </c>
      <c r="G45">
        <f aca="true" t="shared" si="4" ref="G45:G50">(E45+F45)/(D45-14*3)</f>
        <v>0.8198970840480274</v>
      </c>
      <c r="Q45" s="2">
        <v>1.7</v>
      </c>
      <c r="R45" s="2">
        <f>-0.0108*Q45^4+0.3057*Q45^3-1.311*Q45^2+1.3469*Q45+0.5907</f>
        <v>0.5033414200000008</v>
      </c>
    </row>
    <row r="46" spans="1:18" ht="12.75">
      <c r="A46" s="1">
        <v>100</v>
      </c>
      <c r="B46">
        <f t="shared" si="3"/>
        <v>1.312786035347377</v>
      </c>
      <c r="C46">
        <v>28996</v>
      </c>
      <c r="D46">
        <v>2457</v>
      </c>
      <c r="E46">
        <v>325</v>
      </c>
      <c r="F46">
        <v>1532</v>
      </c>
      <c r="G46">
        <f t="shared" si="4"/>
        <v>0.768944099378882</v>
      </c>
      <c r="Q46">
        <v>1.6</v>
      </c>
      <c r="R46">
        <f>-0.0108*Q46^4+0.3057*Q46^3-1.311*Q46^2+1.3469*Q46+0.5907</f>
        <v>0.5709483199999998</v>
      </c>
    </row>
    <row r="47" spans="1:7" ht="12.75">
      <c r="A47">
        <v>120</v>
      </c>
      <c r="B47">
        <f t="shared" si="3"/>
        <v>1.5603687001043562</v>
      </c>
      <c r="C47">
        <v>22747</v>
      </c>
      <c r="D47">
        <v>2403</v>
      </c>
      <c r="E47">
        <v>248</v>
      </c>
      <c r="F47">
        <v>1158</v>
      </c>
      <c r="G47">
        <f t="shared" si="4"/>
        <v>0.5955103769589157</v>
      </c>
    </row>
    <row r="48" spans="1:7" ht="12.75">
      <c r="A48">
        <v>150</v>
      </c>
      <c r="B48">
        <f t="shared" si="3"/>
        <v>1.9317426972398248</v>
      </c>
      <c r="C48">
        <v>15974</v>
      </c>
      <c r="D48">
        <v>2533</v>
      </c>
      <c r="E48">
        <v>157</v>
      </c>
      <c r="F48">
        <v>723</v>
      </c>
      <c r="G48">
        <f t="shared" si="4"/>
        <v>0.3532717784022481</v>
      </c>
    </row>
    <row r="49" spans="1:7" ht="12.75">
      <c r="A49">
        <v>180</v>
      </c>
      <c r="B49">
        <f t="shared" si="3"/>
        <v>2.3031166943752934</v>
      </c>
      <c r="C49">
        <v>11270</v>
      </c>
      <c r="D49">
        <v>2485</v>
      </c>
      <c r="E49">
        <v>63</v>
      </c>
      <c r="F49">
        <v>352</v>
      </c>
      <c r="G49">
        <f t="shared" si="4"/>
        <v>0.16987310683585755</v>
      </c>
    </row>
    <row r="50" spans="1:7" ht="12.75">
      <c r="A50">
        <v>210</v>
      </c>
      <c r="B50">
        <f t="shared" si="3"/>
        <v>2.674490691510762</v>
      </c>
      <c r="C50">
        <v>8160</v>
      </c>
      <c r="D50">
        <v>2414</v>
      </c>
      <c r="E50">
        <v>28</v>
      </c>
      <c r="F50">
        <v>235</v>
      </c>
      <c r="G50">
        <f t="shared" si="4"/>
        <v>0.11087689713322091</v>
      </c>
    </row>
    <row r="53" ht="12.75">
      <c r="A53" t="s">
        <v>11</v>
      </c>
    </row>
    <row r="55" spans="1:12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I55" t="s">
        <v>2</v>
      </c>
      <c r="J55" t="s">
        <v>3</v>
      </c>
      <c r="K55" t="s">
        <v>4</v>
      </c>
      <c r="L55" t="s">
        <v>5</v>
      </c>
    </row>
    <row r="56" spans="1:7" ht="12.75">
      <c r="A56">
        <v>80</v>
      </c>
      <c r="B56">
        <f aca="true" t="shared" si="5" ref="B56:B63">(A56+6.0483)/80.7811</f>
        <v>1.065203370590398</v>
      </c>
      <c r="C56">
        <v>44806</v>
      </c>
      <c r="D56">
        <v>2439</v>
      </c>
      <c r="E56">
        <v>353</v>
      </c>
      <c r="F56">
        <v>1917</v>
      </c>
      <c r="G56">
        <f>(E56+F56)/(D56-14*3)</f>
        <v>0.9470171047142261</v>
      </c>
    </row>
    <row r="57" spans="1:7" ht="12.75">
      <c r="A57">
        <v>90</v>
      </c>
      <c r="B57">
        <f t="shared" si="5"/>
        <v>1.1889947029688877</v>
      </c>
      <c r="C57">
        <v>39643</v>
      </c>
      <c r="D57">
        <v>2437</v>
      </c>
      <c r="E57">
        <v>409</v>
      </c>
      <c r="F57">
        <v>1782</v>
      </c>
      <c r="G57">
        <f aca="true" t="shared" si="6" ref="G57:G63">(E57+F57)/(D57-14*3)</f>
        <v>0.9148225469728601</v>
      </c>
    </row>
    <row r="58" spans="1:18" ht="12.75">
      <c r="A58" s="1">
        <v>100</v>
      </c>
      <c r="B58">
        <f t="shared" si="5"/>
        <v>1.312786035347377</v>
      </c>
      <c r="C58">
        <v>34871</v>
      </c>
      <c r="D58">
        <v>2467</v>
      </c>
      <c r="E58">
        <v>374</v>
      </c>
      <c r="F58">
        <v>1723</v>
      </c>
      <c r="G58">
        <f t="shared" si="6"/>
        <v>0.8647422680412371</v>
      </c>
      <c r="Q58">
        <v>1.92</v>
      </c>
      <c r="R58">
        <f>-0.0815*Q58^4+0.7901*Q58^3-2.6191*Q58^2+3.0336*Q58-0.1578</f>
        <v>0.49635315456000034</v>
      </c>
    </row>
    <row r="59" spans="1:18" ht="12.75">
      <c r="A59">
        <v>120</v>
      </c>
      <c r="B59">
        <f t="shared" si="5"/>
        <v>1.5603687001043562</v>
      </c>
      <c r="C59">
        <v>28803</v>
      </c>
      <c r="D59">
        <v>2496</v>
      </c>
      <c r="E59">
        <v>255</v>
      </c>
      <c r="F59">
        <v>1494</v>
      </c>
      <c r="G59">
        <f t="shared" si="6"/>
        <v>0.7127139364303179</v>
      </c>
      <c r="Q59" s="1">
        <v>1.9</v>
      </c>
      <c r="R59">
        <f>-0.0815*Q59^4+0.7901*Q59^3-2.6191*Q59^2+3.0336*Q59-0.1578</f>
        <v>0.50826875</v>
      </c>
    </row>
    <row r="60" spans="1:18" ht="12.75">
      <c r="A60">
        <v>150</v>
      </c>
      <c r="B60">
        <f t="shared" si="5"/>
        <v>1.9317426972398248</v>
      </c>
      <c r="C60">
        <v>20706</v>
      </c>
      <c r="D60">
        <v>2387</v>
      </c>
      <c r="E60">
        <v>199</v>
      </c>
      <c r="F60">
        <v>923</v>
      </c>
      <c r="G60">
        <f t="shared" si="6"/>
        <v>0.47846481876332625</v>
      </c>
      <c r="I60">
        <v>22675</v>
      </c>
      <c r="J60">
        <v>2950</v>
      </c>
      <c r="K60">
        <v>231</v>
      </c>
      <c r="L60">
        <v>1332</v>
      </c>
      <c r="M60">
        <f>(K60+L60)/(J60-14*3)</f>
        <v>0.5374828060522696</v>
      </c>
      <c r="Q60" s="2">
        <v>1.91</v>
      </c>
      <c r="R60" s="2">
        <f>-0.0815*Q60^4+0.7901*Q60^3-2.6191*Q60^2+3.0336*Q60-0.1578</f>
        <v>0.5022985278849985</v>
      </c>
    </row>
    <row r="61" spans="1:7" ht="12.75">
      <c r="A61">
        <v>180</v>
      </c>
      <c r="B61">
        <f t="shared" si="5"/>
        <v>2.3031166943752934</v>
      </c>
      <c r="C61">
        <v>14904</v>
      </c>
      <c r="D61">
        <v>2528</v>
      </c>
      <c r="E61">
        <v>126</v>
      </c>
      <c r="F61">
        <v>654</v>
      </c>
      <c r="G61">
        <f t="shared" si="6"/>
        <v>0.3137570394207562</v>
      </c>
    </row>
    <row r="62" spans="1:7" ht="12.75">
      <c r="A62">
        <v>210</v>
      </c>
      <c r="B62">
        <f t="shared" si="5"/>
        <v>2.674490691510762</v>
      </c>
      <c r="C62">
        <v>11133</v>
      </c>
      <c r="D62">
        <v>2561</v>
      </c>
      <c r="E62">
        <v>56</v>
      </c>
      <c r="F62">
        <v>337</v>
      </c>
      <c r="G62">
        <f t="shared" si="6"/>
        <v>0.15601429138547043</v>
      </c>
    </row>
    <row r="63" spans="1:7" ht="12.75">
      <c r="A63">
        <v>240</v>
      </c>
      <c r="B63">
        <f t="shared" si="5"/>
        <v>3.0458646886462306</v>
      </c>
      <c r="C63">
        <v>8100</v>
      </c>
      <c r="D63">
        <v>2426</v>
      </c>
      <c r="E63">
        <v>28</v>
      </c>
      <c r="F63">
        <v>206</v>
      </c>
      <c r="G63">
        <f t="shared" si="6"/>
        <v>0.09815436241610738</v>
      </c>
    </row>
    <row r="68" ht="12.75">
      <c r="A68" t="s">
        <v>12</v>
      </c>
    </row>
    <row r="70" spans="1:7" ht="12.75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</row>
    <row r="71" spans="1:7" ht="12.75">
      <c r="A71">
        <v>80</v>
      </c>
      <c r="B71">
        <f aca="true" t="shared" si="7" ref="B71:B80">(A71+6.0483)/80.7811</f>
        <v>1.065203370590398</v>
      </c>
      <c r="C71">
        <v>49321</v>
      </c>
      <c r="D71">
        <v>2432</v>
      </c>
      <c r="E71">
        <v>406</v>
      </c>
      <c r="F71">
        <v>1923</v>
      </c>
      <c r="G71">
        <f>(E71+F71)/(D71-14*3)</f>
        <v>0.9744769874476987</v>
      </c>
    </row>
    <row r="72" spans="1:7" ht="12.75">
      <c r="A72">
        <v>90</v>
      </c>
      <c r="B72">
        <f t="shared" si="7"/>
        <v>1.1889947029688877</v>
      </c>
      <c r="C72">
        <v>43969</v>
      </c>
      <c r="D72">
        <v>2348</v>
      </c>
      <c r="E72">
        <v>350</v>
      </c>
      <c r="F72">
        <v>1846</v>
      </c>
      <c r="G72">
        <f aca="true" t="shared" si="8" ref="G72:G80">(E72+F72)/(D72-14*3)</f>
        <v>0.9522983521248916</v>
      </c>
    </row>
    <row r="73" spans="1:7" ht="12.75">
      <c r="A73" s="1">
        <v>100</v>
      </c>
      <c r="B73">
        <f t="shared" si="7"/>
        <v>1.312786035347377</v>
      </c>
      <c r="C73">
        <v>39800</v>
      </c>
      <c r="D73">
        <v>2475</v>
      </c>
      <c r="E73">
        <v>374</v>
      </c>
      <c r="F73">
        <v>1839</v>
      </c>
      <c r="G73">
        <f t="shared" si="8"/>
        <v>0.9095766543362105</v>
      </c>
    </row>
    <row r="74" spans="1:18" ht="12.75">
      <c r="A74">
        <v>120</v>
      </c>
      <c r="B74">
        <f t="shared" si="7"/>
        <v>1.5603687001043562</v>
      </c>
      <c r="C74">
        <v>32727</v>
      </c>
      <c r="D74">
        <v>2386</v>
      </c>
      <c r="E74">
        <v>290</v>
      </c>
      <c r="F74">
        <v>1595</v>
      </c>
      <c r="G74">
        <f t="shared" si="8"/>
        <v>0.8041808873720137</v>
      </c>
      <c r="Q74" s="2">
        <v>2.13</v>
      </c>
      <c r="R74" s="2">
        <f>-0.0374*Q74^4+0.4256*Q74^3-1.615*Q74^2+2.0128*Q74+0.199</f>
        <v>0.5021759189859998</v>
      </c>
    </row>
    <row r="75" spans="1:18" ht="12.75">
      <c r="A75">
        <v>150</v>
      </c>
      <c r="B75">
        <f t="shared" si="7"/>
        <v>1.9317426972398248</v>
      </c>
      <c r="C75">
        <v>24275</v>
      </c>
      <c r="D75">
        <v>2422</v>
      </c>
      <c r="E75">
        <v>269</v>
      </c>
      <c r="F75">
        <v>1169</v>
      </c>
      <c r="G75">
        <f t="shared" si="8"/>
        <v>0.6042016806722689</v>
      </c>
      <c r="Q75" s="1">
        <v>2.14</v>
      </c>
      <c r="R75">
        <f>-0.0374*Q75^4+0.4256*Q75^3-1.615*Q75^2+2.0128*Q75+0.199</f>
        <v>0.49698407401600003</v>
      </c>
    </row>
    <row r="76" spans="1:18" ht="12.75">
      <c r="A76">
        <v>180</v>
      </c>
      <c r="B76">
        <f t="shared" si="7"/>
        <v>2.3031166943752934</v>
      </c>
      <c r="C76">
        <v>18059</v>
      </c>
      <c r="D76">
        <v>2480</v>
      </c>
      <c r="E76">
        <v>175</v>
      </c>
      <c r="F76">
        <v>838</v>
      </c>
      <c r="G76">
        <f t="shared" si="8"/>
        <v>0.4155045118949959</v>
      </c>
      <c r="Q76">
        <v>1.89</v>
      </c>
      <c r="R76">
        <f>-0.0374*Q76^4+0.4256*Q76^3-1.615*Q76^2+2.0128*Q76+0.199</f>
        <v>0.6303703858659999</v>
      </c>
    </row>
    <row r="77" spans="1:7" ht="12.75">
      <c r="A77">
        <v>210</v>
      </c>
      <c r="B77">
        <f t="shared" si="7"/>
        <v>2.674490691510762</v>
      </c>
      <c r="C77">
        <v>13507</v>
      </c>
      <c r="D77">
        <v>2491</v>
      </c>
      <c r="E77">
        <v>122</v>
      </c>
      <c r="F77">
        <v>497</v>
      </c>
      <c r="G77">
        <f t="shared" si="8"/>
        <v>0.2527562270314414</v>
      </c>
    </row>
    <row r="78" spans="1:7" ht="12.75">
      <c r="A78">
        <v>240</v>
      </c>
      <c r="B78">
        <f t="shared" si="7"/>
        <v>3.0458646886462306</v>
      </c>
      <c r="C78">
        <v>9955</v>
      </c>
      <c r="D78">
        <v>2336</v>
      </c>
      <c r="E78">
        <v>56</v>
      </c>
      <c r="F78">
        <v>312</v>
      </c>
      <c r="G78">
        <f t="shared" si="8"/>
        <v>0.16041848299912817</v>
      </c>
    </row>
    <row r="79" spans="1:7" ht="12.75">
      <c r="A79">
        <v>270</v>
      </c>
      <c r="B79">
        <f t="shared" si="7"/>
        <v>3.4172386857816988</v>
      </c>
      <c r="C79">
        <v>7866</v>
      </c>
      <c r="D79">
        <v>2411</v>
      </c>
      <c r="E79">
        <v>35</v>
      </c>
      <c r="F79">
        <v>177</v>
      </c>
      <c r="G79">
        <f t="shared" si="8"/>
        <v>0.089489235964542</v>
      </c>
    </row>
    <row r="80" spans="1:7" ht="12.75">
      <c r="A80">
        <v>300</v>
      </c>
      <c r="B80">
        <f t="shared" si="7"/>
        <v>3.7886126829171674</v>
      </c>
      <c r="C80">
        <v>6146</v>
      </c>
      <c r="D80">
        <v>2378</v>
      </c>
      <c r="E80">
        <v>35</v>
      </c>
      <c r="F80">
        <v>145</v>
      </c>
      <c r="G80">
        <f t="shared" si="8"/>
        <v>0.07705479452054795</v>
      </c>
    </row>
    <row r="84" ht="12.75">
      <c r="A84" t="s">
        <v>14</v>
      </c>
    </row>
    <row r="86" spans="1:7" ht="12.7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</row>
    <row r="87" spans="1:7" ht="12.75">
      <c r="A87">
        <v>80</v>
      </c>
      <c r="B87">
        <f aca="true" t="shared" si="9" ref="B87:B97">(A87+6.0483)/80.7811</f>
        <v>1.065203370590398</v>
      </c>
      <c r="C87">
        <v>54924</v>
      </c>
      <c r="D87">
        <v>2497</v>
      </c>
      <c r="E87">
        <v>388</v>
      </c>
      <c r="F87">
        <v>2006</v>
      </c>
      <c r="G87">
        <f>(E87+F87)/(D87-14*3)</f>
        <v>0.9751527494908351</v>
      </c>
    </row>
    <row r="88" spans="1:18" ht="12.75">
      <c r="A88">
        <v>90</v>
      </c>
      <c r="B88">
        <f t="shared" si="9"/>
        <v>1.1889947029688877</v>
      </c>
      <c r="C88">
        <v>50188</v>
      </c>
      <c r="D88">
        <v>2525</v>
      </c>
      <c r="E88">
        <v>399</v>
      </c>
      <c r="F88">
        <v>2002</v>
      </c>
      <c r="G88">
        <f aca="true" t="shared" si="10" ref="G88:G97">(E88+F88)/(D88-14*3)</f>
        <v>0.9669754329440193</v>
      </c>
      <c r="Q88">
        <v>2.22</v>
      </c>
      <c r="R88">
        <f>-0.0293*Q88^4+0.3445*Q88^3-1.3553*Q88^2+1.7301*Q88+0.295</f>
        <v>0.5138811077919994</v>
      </c>
    </row>
    <row r="89" spans="1:18" ht="12.75">
      <c r="A89" s="1">
        <v>100</v>
      </c>
      <c r="B89">
        <f t="shared" si="9"/>
        <v>1.312786035347377</v>
      </c>
      <c r="C89">
        <v>43933</v>
      </c>
      <c r="D89">
        <v>2426</v>
      </c>
      <c r="E89">
        <v>364</v>
      </c>
      <c r="F89">
        <v>1827</v>
      </c>
      <c r="G89">
        <f t="shared" si="10"/>
        <v>0.9190436241610739</v>
      </c>
      <c r="Q89" s="2">
        <v>2.25</v>
      </c>
      <c r="R89" s="2">
        <f>-0.0293*Q89^4+0.3445*Q89^3-1.3553*Q89^2+1.7301*Q89+0.295</f>
        <v>0.49966210937500005</v>
      </c>
    </row>
    <row r="90" spans="1:18" ht="12.75">
      <c r="A90">
        <v>120</v>
      </c>
      <c r="B90">
        <f t="shared" si="9"/>
        <v>1.5603687001043562</v>
      </c>
      <c r="C90">
        <v>36243</v>
      </c>
      <c r="D90">
        <v>2515</v>
      </c>
      <c r="E90">
        <v>322</v>
      </c>
      <c r="F90">
        <v>1706</v>
      </c>
      <c r="G90">
        <f t="shared" si="10"/>
        <v>0.8200566114031541</v>
      </c>
      <c r="Q90" s="1">
        <v>1.98</v>
      </c>
      <c r="R90">
        <f>-0.0293*Q90^4+0.3445*Q90^3-1.3553*Q90^2+1.7301*Q90+0.295</f>
        <v>0.6310965145119996</v>
      </c>
    </row>
    <row r="91" spans="1:18" ht="12.75">
      <c r="A91">
        <v>150</v>
      </c>
      <c r="B91">
        <f t="shared" si="9"/>
        <v>1.9317426972398248</v>
      </c>
      <c r="C91">
        <v>27658</v>
      </c>
      <c r="D91">
        <v>2407</v>
      </c>
      <c r="E91">
        <v>266</v>
      </c>
      <c r="F91">
        <v>1302</v>
      </c>
      <c r="G91">
        <f t="shared" si="10"/>
        <v>0.6630021141649048</v>
      </c>
      <c r="Q91">
        <v>1.99</v>
      </c>
      <c r="R91">
        <f>-0.0293*Q91^4+0.3445*Q91^3-1.3553*Q91^2+1.7301*Q91+0.295</f>
        <v>0.6261477396069997</v>
      </c>
    </row>
    <row r="92" spans="1:7" ht="12.75">
      <c r="A92">
        <v>180</v>
      </c>
      <c r="B92">
        <f t="shared" si="9"/>
        <v>2.3031166943752934</v>
      </c>
      <c r="C92">
        <v>20989</v>
      </c>
      <c r="D92">
        <v>2455</v>
      </c>
      <c r="E92">
        <v>231</v>
      </c>
      <c r="F92">
        <v>927</v>
      </c>
      <c r="G92">
        <f t="shared" si="10"/>
        <v>0.4799005387484459</v>
      </c>
    </row>
    <row r="93" spans="1:7" ht="12.75">
      <c r="A93">
        <v>210</v>
      </c>
      <c r="B93">
        <f t="shared" si="9"/>
        <v>2.674490691510762</v>
      </c>
      <c r="C93">
        <v>15599</v>
      </c>
      <c r="D93">
        <v>2465</v>
      </c>
      <c r="E93">
        <v>147</v>
      </c>
      <c r="F93">
        <v>594</v>
      </c>
      <c r="G93">
        <f t="shared" si="10"/>
        <v>0.30581923235658276</v>
      </c>
    </row>
    <row r="94" spans="1:7" ht="12.75">
      <c r="A94">
        <v>240</v>
      </c>
      <c r="B94">
        <f t="shared" si="9"/>
        <v>3.0458646886462306</v>
      </c>
      <c r="C94">
        <v>11896</v>
      </c>
      <c r="D94">
        <v>2353</v>
      </c>
      <c r="E94">
        <v>77</v>
      </c>
      <c r="F94">
        <v>410</v>
      </c>
      <c r="G94">
        <f t="shared" si="10"/>
        <v>0.2107312851579403</v>
      </c>
    </row>
    <row r="95" spans="1:7" ht="12.75">
      <c r="A95">
        <v>270</v>
      </c>
      <c r="B95">
        <f t="shared" si="9"/>
        <v>3.4172386857816988</v>
      </c>
      <c r="C95">
        <v>9171</v>
      </c>
      <c r="D95">
        <v>2388</v>
      </c>
      <c r="E95">
        <v>49</v>
      </c>
      <c r="F95">
        <v>251</v>
      </c>
      <c r="G95">
        <f t="shared" si="10"/>
        <v>0.1278772378516624</v>
      </c>
    </row>
    <row r="96" spans="1:7" ht="12.75">
      <c r="A96">
        <v>300</v>
      </c>
      <c r="B96">
        <f t="shared" si="9"/>
        <v>3.7886126829171674</v>
      </c>
      <c r="C96">
        <v>7117</v>
      </c>
      <c r="D96">
        <v>2487</v>
      </c>
      <c r="E96">
        <v>31</v>
      </c>
      <c r="F96">
        <v>197</v>
      </c>
      <c r="G96">
        <f t="shared" si="10"/>
        <v>0.09325153374233129</v>
      </c>
    </row>
    <row r="97" spans="1:7" ht="12.75">
      <c r="A97">
        <v>330</v>
      </c>
      <c r="B97">
        <f t="shared" si="9"/>
        <v>4.159986680052636</v>
      </c>
      <c r="C97">
        <v>5814</v>
      </c>
      <c r="D97">
        <v>2430</v>
      </c>
      <c r="E97">
        <v>24</v>
      </c>
      <c r="F97">
        <v>120</v>
      </c>
      <c r="G97">
        <f t="shared" si="10"/>
        <v>0.06030150753768844</v>
      </c>
    </row>
    <row r="101" ht="12.75">
      <c r="A101" t="s">
        <v>16</v>
      </c>
    </row>
    <row r="102" ht="12.75">
      <c r="I102" s="11">
        <v>38946</v>
      </c>
    </row>
    <row r="103" spans="1:13" ht="12.75">
      <c r="A103" t="s">
        <v>0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I103" t="s">
        <v>2</v>
      </c>
      <c r="J103" t="s">
        <v>3</v>
      </c>
      <c r="K103" t="s">
        <v>4</v>
      </c>
      <c r="L103" t="s">
        <v>5</v>
      </c>
      <c r="M103" t="s">
        <v>6</v>
      </c>
    </row>
    <row r="104" spans="1:18" ht="12.75">
      <c r="A104">
        <v>80</v>
      </c>
      <c r="B104">
        <f aca="true" t="shared" si="11" ref="B104:B115">(A104+6.0483)/80.7811</f>
        <v>1.065203370590398</v>
      </c>
      <c r="C104">
        <v>59161</v>
      </c>
      <c r="D104">
        <v>2391</v>
      </c>
      <c r="E104">
        <v>371</v>
      </c>
      <c r="F104">
        <v>1939</v>
      </c>
      <c r="G104">
        <f aca="true" t="shared" si="12" ref="G104:G115">(E104+F104)/(D104-14*3)</f>
        <v>0.9833971902937421</v>
      </c>
      <c r="Q104" s="2">
        <v>2.51</v>
      </c>
      <c r="R104" s="2">
        <f>-0.008*Q104^5+0.0928*Q104^4-0.3453*Q104^3+0.3991*Q104^2-0.1947*Q104+1.0494</f>
        <v>0.5011057676271999</v>
      </c>
    </row>
    <row r="105" spans="1:18" ht="12.75">
      <c r="A105">
        <v>90</v>
      </c>
      <c r="B105">
        <f t="shared" si="11"/>
        <v>1.1889947029688877</v>
      </c>
      <c r="C105">
        <v>52837</v>
      </c>
      <c r="D105">
        <v>2343</v>
      </c>
      <c r="E105">
        <v>400</v>
      </c>
      <c r="F105">
        <v>1845</v>
      </c>
      <c r="G105">
        <f t="shared" si="12"/>
        <v>0.9756627553237722</v>
      </c>
      <c r="Q105">
        <v>2.52</v>
      </c>
      <c r="R105" s="1">
        <f>-0.008*Q105^5+0.0928*Q105^4-0.3453*Q105^3+0.3991*Q105^2-0.1947*Q105+1.0494</f>
        <v>0.4967574004224</v>
      </c>
    </row>
    <row r="106" spans="1:18" ht="12.75">
      <c r="A106" s="1">
        <v>100</v>
      </c>
      <c r="B106">
        <f t="shared" si="11"/>
        <v>1.312786035347377</v>
      </c>
      <c r="C106">
        <v>48266</v>
      </c>
      <c r="D106">
        <v>2413</v>
      </c>
      <c r="E106">
        <v>357</v>
      </c>
      <c r="F106">
        <v>1882</v>
      </c>
      <c r="G106">
        <f t="shared" si="12"/>
        <v>0.9443272880641079</v>
      </c>
      <c r="Q106">
        <v>2.3</v>
      </c>
      <c r="R106" s="1">
        <f>-0.008*Q106^5+0.0928*Q106^4-0.3453*Q106^3+0.3991*Q106^2-0.1947*Q106+1.0494</f>
        <v>0.5935809400000001</v>
      </c>
    </row>
    <row r="107" spans="1:18" ht="12.75">
      <c r="A107">
        <v>120</v>
      </c>
      <c r="B107">
        <f t="shared" si="11"/>
        <v>1.5603687001043562</v>
      </c>
      <c r="C107">
        <v>39468</v>
      </c>
      <c r="D107">
        <v>2412</v>
      </c>
      <c r="E107">
        <v>329</v>
      </c>
      <c r="F107">
        <v>1732</v>
      </c>
      <c r="G107">
        <f t="shared" si="12"/>
        <v>0.8696202531645569</v>
      </c>
      <c r="R107" s="2"/>
    </row>
    <row r="108" spans="1:7" ht="12.75">
      <c r="A108">
        <v>150</v>
      </c>
      <c r="B108">
        <f t="shared" si="11"/>
        <v>1.9317426972398248</v>
      </c>
      <c r="C108">
        <v>30705</v>
      </c>
      <c r="D108">
        <v>2346</v>
      </c>
      <c r="E108">
        <v>287</v>
      </c>
      <c r="F108">
        <v>1448</v>
      </c>
      <c r="G108">
        <f t="shared" si="12"/>
        <v>0.7530381944444444</v>
      </c>
    </row>
    <row r="109" spans="1:13" ht="12.75">
      <c r="A109">
        <v>180</v>
      </c>
      <c r="B109">
        <f t="shared" si="11"/>
        <v>2.3031166943752934</v>
      </c>
      <c r="C109">
        <v>24188</v>
      </c>
      <c r="D109">
        <v>2453</v>
      </c>
      <c r="E109">
        <v>238</v>
      </c>
      <c r="F109">
        <v>1240</v>
      </c>
      <c r="G109">
        <f t="shared" si="12"/>
        <v>0.613023641642472</v>
      </c>
      <c r="I109">
        <v>25076</v>
      </c>
      <c r="J109">
        <v>2837</v>
      </c>
      <c r="K109">
        <v>262</v>
      </c>
      <c r="L109">
        <v>1382</v>
      </c>
      <c r="M109">
        <f>(K109+L109)/(J109-14*3)</f>
        <v>0.5881932021466905</v>
      </c>
    </row>
    <row r="110" spans="1:7" ht="12.75">
      <c r="A110">
        <v>210</v>
      </c>
      <c r="B110">
        <f t="shared" si="11"/>
        <v>2.674490691510762</v>
      </c>
      <c r="C110">
        <v>18507</v>
      </c>
      <c r="D110">
        <v>2526</v>
      </c>
      <c r="E110">
        <v>154</v>
      </c>
      <c r="F110">
        <v>851</v>
      </c>
      <c r="G110">
        <f t="shared" si="12"/>
        <v>0.40458937198067635</v>
      </c>
    </row>
    <row r="111" spans="1:7" ht="12.75">
      <c r="A111">
        <v>240</v>
      </c>
      <c r="B111">
        <f t="shared" si="11"/>
        <v>3.0458646886462306</v>
      </c>
      <c r="C111">
        <v>14709</v>
      </c>
      <c r="D111">
        <v>2421</v>
      </c>
      <c r="E111">
        <v>129</v>
      </c>
      <c r="F111">
        <v>550</v>
      </c>
      <c r="G111">
        <f t="shared" si="12"/>
        <v>0.2854140395124002</v>
      </c>
    </row>
    <row r="112" spans="1:7" ht="12.75">
      <c r="A112">
        <v>270</v>
      </c>
      <c r="B112">
        <f t="shared" si="11"/>
        <v>3.4172386857816988</v>
      </c>
      <c r="C112">
        <v>11367</v>
      </c>
      <c r="D112">
        <v>2419</v>
      </c>
      <c r="E112">
        <v>77</v>
      </c>
      <c r="F112">
        <v>388</v>
      </c>
      <c r="G112">
        <f t="shared" si="12"/>
        <v>0.19562473706352546</v>
      </c>
    </row>
    <row r="113" spans="1:7" ht="12.75">
      <c r="A113">
        <v>300</v>
      </c>
      <c r="B113">
        <f t="shared" si="11"/>
        <v>3.7886126829171674</v>
      </c>
      <c r="C113">
        <v>8931</v>
      </c>
      <c r="D113">
        <v>2428</v>
      </c>
      <c r="E113">
        <v>38</v>
      </c>
      <c r="F113">
        <v>271</v>
      </c>
      <c r="G113">
        <f t="shared" si="12"/>
        <v>0.12950544844928752</v>
      </c>
    </row>
    <row r="114" spans="1:7" ht="12.75">
      <c r="A114">
        <v>330</v>
      </c>
      <c r="B114">
        <f t="shared" si="11"/>
        <v>4.159986680052636</v>
      </c>
      <c r="C114">
        <v>6906</v>
      </c>
      <c r="D114">
        <v>2393</v>
      </c>
      <c r="E114">
        <v>24</v>
      </c>
      <c r="F114">
        <v>182</v>
      </c>
      <c r="G114">
        <f t="shared" si="12"/>
        <v>0.08762228838792004</v>
      </c>
    </row>
    <row r="115" spans="1:7" ht="12.75">
      <c r="A115">
        <v>360</v>
      </c>
      <c r="B115">
        <f t="shared" si="11"/>
        <v>4.531360677188105</v>
      </c>
      <c r="C115">
        <v>5446</v>
      </c>
      <c r="D115">
        <v>2546</v>
      </c>
      <c r="E115">
        <v>14</v>
      </c>
      <c r="F115">
        <v>116</v>
      </c>
      <c r="G115">
        <f t="shared" si="12"/>
        <v>0.051916932907348244</v>
      </c>
    </row>
    <row r="118" ht="12.75">
      <c r="A118" t="s">
        <v>36</v>
      </c>
    </row>
    <row r="119" ht="12.75">
      <c r="A119" s="1"/>
    </row>
    <row r="120" spans="1:7" ht="12.75">
      <c r="A120" t="s">
        <v>0</v>
      </c>
      <c r="B120" t="s">
        <v>1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</row>
    <row r="121" spans="1:2" ht="13.5" customHeight="1">
      <c r="A121">
        <v>80</v>
      </c>
      <c r="B121">
        <f>(A121+20.495)/82.661</f>
        <v>1.2157486601904164</v>
      </c>
    </row>
    <row r="122" spans="1:2" ht="13.5" customHeight="1">
      <c r="A122">
        <v>90</v>
      </c>
      <c r="B122">
        <f aca="true" t="shared" si="13" ref="B122:B133">(A122+20.495)/82.661</f>
        <v>1.3367246948379525</v>
      </c>
    </row>
    <row r="123" spans="1:2" ht="12.75">
      <c r="A123" s="1">
        <v>100</v>
      </c>
      <c r="B123">
        <f t="shared" si="13"/>
        <v>1.457700729485489</v>
      </c>
    </row>
    <row r="124" spans="1:2" ht="12.75">
      <c r="A124">
        <v>120</v>
      </c>
      <c r="B124">
        <f t="shared" si="13"/>
        <v>1.6996527987805616</v>
      </c>
    </row>
    <row r="125" spans="1:2" ht="12.75">
      <c r="A125">
        <v>150</v>
      </c>
      <c r="B125">
        <f t="shared" si="13"/>
        <v>2.0625809027231705</v>
      </c>
    </row>
    <row r="126" spans="1:2" ht="12.75">
      <c r="A126">
        <v>180</v>
      </c>
      <c r="B126">
        <f t="shared" si="13"/>
        <v>2.4255090066657794</v>
      </c>
    </row>
    <row r="127" spans="1:2" ht="12.75">
      <c r="A127">
        <v>210</v>
      </c>
      <c r="B127">
        <f t="shared" si="13"/>
        <v>2.7884371106083883</v>
      </c>
    </row>
    <row r="128" spans="1:2" ht="12.75">
      <c r="A128">
        <v>240</v>
      </c>
      <c r="B128">
        <f t="shared" si="13"/>
        <v>3.1513652145509976</v>
      </c>
    </row>
    <row r="129" spans="1:2" ht="12.75">
      <c r="A129">
        <v>270</v>
      </c>
      <c r="B129">
        <f t="shared" si="13"/>
        <v>3.5142933184936065</v>
      </c>
    </row>
    <row r="130" spans="1:7" ht="12.75">
      <c r="A130">
        <v>300</v>
      </c>
      <c r="B130">
        <f t="shared" si="13"/>
        <v>3.8772214224362154</v>
      </c>
      <c r="C130">
        <v>20500</v>
      </c>
      <c r="D130">
        <v>3021</v>
      </c>
      <c r="E130">
        <v>203</v>
      </c>
      <c r="F130">
        <v>1148</v>
      </c>
      <c r="G130">
        <f>(E130+F130)/(D130-14*3)</f>
        <v>0.4535078885532058</v>
      </c>
    </row>
    <row r="131" spans="1:2" ht="12.75">
      <c r="A131">
        <v>330</v>
      </c>
      <c r="B131">
        <f t="shared" si="13"/>
        <v>4.240149526378825</v>
      </c>
    </row>
    <row r="132" spans="1:2" ht="12.75">
      <c r="A132">
        <v>360</v>
      </c>
      <c r="B132">
        <f t="shared" si="13"/>
        <v>4.603077630321433</v>
      </c>
    </row>
    <row r="133" spans="1:7" ht="12.75">
      <c r="A133">
        <v>390</v>
      </c>
      <c r="B133">
        <f t="shared" si="13"/>
        <v>4.9660057342640425</v>
      </c>
      <c r="C133">
        <v>11659</v>
      </c>
      <c r="D133">
        <v>3068</v>
      </c>
      <c r="E133">
        <v>98</v>
      </c>
      <c r="F133">
        <v>485</v>
      </c>
      <c r="G133">
        <f>(E133+F133)/(D133-14*3)</f>
        <v>0.19266358228684732</v>
      </c>
    </row>
    <row r="137" ht="12.75">
      <c r="A137" t="s">
        <v>40</v>
      </c>
    </row>
    <row r="138" ht="12.75">
      <c r="A138" s="1"/>
    </row>
    <row r="139" spans="1:7" ht="12.75">
      <c r="A139" t="s">
        <v>0</v>
      </c>
      <c r="B139" t="s">
        <v>1</v>
      </c>
      <c r="C139" t="s">
        <v>2</v>
      </c>
      <c r="D139" t="s">
        <v>3</v>
      </c>
      <c r="E139" t="s">
        <v>4</v>
      </c>
      <c r="F139" t="s">
        <v>5</v>
      </c>
      <c r="G139" t="s">
        <v>6</v>
      </c>
    </row>
    <row r="140" spans="1:2" ht="12.75">
      <c r="A140">
        <v>80</v>
      </c>
      <c r="B140">
        <f aca="true" t="shared" si="14" ref="B140:B153">(A140+20.495)/82.661</f>
        <v>1.2157486601904164</v>
      </c>
    </row>
    <row r="141" spans="1:2" ht="12.75">
      <c r="A141">
        <v>90</v>
      </c>
      <c r="B141">
        <f t="shared" si="14"/>
        <v>1.3367246948379525</v>
      </c>
    </row>
    <row r="142" spans="1:2" ht="12.75">
      <c r="A142" s="1">
        <v>100</v>
      </c>
      <c r="B142">
        <f t="shared" si="14"/>
        <v>1.457700729485489</v>
      </c>
    </row>
    <row r="143" spans="1:2" ht="12.75">
      <c r="A143">
        <v>120</v>
      </c>
      <c r="B143">
        <f t="shared" si="14"/>
        <v>1.6996527987805616</v>
      </c>
    </row>
    <row r="144" spans="1:2" ht="12.75">
      <c r="A144">
        <v>150</v>
      </c>
      <c r="B144">
        <f t="shared" si="14"/>
        <v>2.0625809027231705</v>
      </c>
    </row>
    <row r="145" spans="1:2" ht="12.75">
      <c r="A145">
        <v>180</v>
      </c>
      <c r="B145">
        <f t="shared" si="14"/>
        <v>2.4255090066657794</v>
      </c>
    </row>
    <row r="146" spans="1:2" ht="12.75">
      <c r="A146">
        <v>210</v>
      </c>
      <c r="B146">
        <f t="shared" si="14"/>
        <v>2.7884371106083883</v>
      </c>
    </row>
    <row r="147" spans="1:2" ht="12.75">
      <c r="A147">
        <v>240</v>
      </c>
      <c r="B147">
        <f t="shared" si="14"/>
        <v>3.1513652145509976</v>
      </c>
    </row>
    <row r="148" spans="1:2" ht="12.75">
      <c r="A148">
        <v>270</v>
      </c>
      <c r="B148">
        <f t="shared" si="14"/>
        <v>3.5142933184936065</v>
      </c>
    </row>
    <row r="149" spans="1:7" ht="12.75">
      <c r="A149">
        <v>300</v>
      </c>
      <c r="B149">
        <f t="shared" si="14"/>
        <v>3.8772214224362154</v>
      </c>
      <c r="C149">
        <v>20537</v>
      </c>
      <c r="D149">
        <v>2867</v>
      </c>
      <c r="E149">
        <v>193</v>
      </c>
      <c r="F149">
        <v>1109</v>
      </c>
      <c r="G149">
        <f>(E149+F149)/(D149-14*3)</f>
        <v>0.4608849557522124</v>
      </c>
    </row>
    <row r="150" spans="1:2" ht="12.75">
      <c r="A150">
        <v>330</v>
      </c>
      <c r="B150">
        <f t="shared" si="14"/>
        <v>4.240149526378825</v>
      </c>
    </row>
    <row r="151" spans="1:2" ht="12.75">
      <c r="A151">
        <v>360</v>
      </c>
      <c r="B151">
        <f t="shared" si="14"/>
        <v>4.603077630321433</v>
      </c>
    </row>
    <row r="152" spans="1:7" ht="12.75">
      <c r="A152">
        <v>390</v>
      </c>
      <c r="B152">
        <f t="shared" si="14"/>
        <v>4.9660057342640425</v>
      </c>
      <c r="C152">
        <v>12027</v>
      </c>
      <c r="D152">
        <v>2947</v>
      </c>
      <c r="E152">
        <v>81</v>
      </c>
      <c r="F152">
        <v>471</v>
      </c>
      <c r="G152">
        <f>(E152+F152)/(D152-14*3)</f>
        <v>0.1900172117039587</v>
      </c>
    </row>
    <row r="153" spans="1:2" ht="12.75">
      <c r="A153">
        <v>420</v>
      </c>
      <c r="B153">
        <f t="shared" si="14"/>
        <v>5.328933838206651</v>
      </c>
    </row>
    <row r="157" ht="12.75">
      <c r="A157" t="s">
        <v>37</v>
      </c>
    </row>
    <row r="158" ht="12.75">
      <c r="A158" s="1"/>
    </row>
    <row r="159" spans="1:7" ht="12.75">
      <c r="A159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5</v>
      </c>
      <c r="G159" t="s">
        <v>6</v>
      </c>
    </row>
    <row r="160" spans="1:2" ht="12.75">
      <c r="A160">
        <v>80</v>
      </c>
      <c r="B160">
        <f aca="true" t="shared" si="15" ref="B160:B173">(A160+20.495)/82.661</f>
        <v>1.2157486601904164</v>
      </c>
    </row>
    <row r="161" spans="1:2" ht="12.75">
      <c r="A161">
        <v>90</v>
      </c>
      <c r="B161">
        <f t="shared" si="15"/>
        <v>1.3367246948379525</v>
      </c>
    </row>
    <row r="162" spans="1:2" ht="12.75">
      <c r="A162" s="1">
        <v>100</v>
      </c>
      <c r="B162">
        <f t="shared" si="15"/>
        <v>1.457700729485489</v>
      </c>
    </row>
    <row r="163" spans="1:2" ht="12.75">
      <c r="A163">
        <v>120</v>
      </c>
      <c r="B163">
        <f t="shared" si="15"/>
        <v>1.6996527987805616</v>
      </c>
    </row>
    <row r="164" spans="1:2" ht="12.75">
      <c r="A164">
        <v>150</v>
      </c>
      <c r="B164">
        <f t="shared" si="15"/>
        <v>2.0625809027231705</v>
      </c>
    </row>
    <row r="165" spans="1:2" ht="12.75">
      <c r="A165">
        <v>180</v>
      </c>
      <c r="B165">
        <f t="shared" si="15"/>
        <v>2.4255090066657794</v>
      </c>
    </row>
    <row r="166" spans="1:2" ht="12.75">
      <c r="A166">
        <v>210</v>
      </c>
      <c r="B166">
        <f t="shared" si="15"/>
        <v>2.7884371106083883</v>
      </c>
    </row>
    <row r="167" spans="1:2" ht="12.75">
      <c r="A167">
        <v>240</v>
      </c>
      <c r="B167">
        <f t="shared" si="15"/>
        <v>3.1513652145509976</v>
      </c>
    </row>
    <row r="168" spans="1:2" ht="12.75">
      <c r="A168">
        <v>270</v>
      </c>
      <c r="B168">
        <f t="shared" si="15"/>
        <v>3.5142933184936065</v>
      </c>
    </row>
    <row r="169" spans="1:7" ht="12.75">
      <c r="A169">
        <v>300</v>
      </c>
      <c r="B169">
        <f t="shared" si="15"/>
        <v>3.8772214224362154</v>
      </c>
      <c r="C169">
        <v>20775</v>
      </c>
      <c r="D169">
        <v>2956</v>
      </c>
      <c r="E169">
        <v>214</v>
      </c>
      <c r="F169">
        <v>1196</v>
      </c>
      <c r="G169">
        <f>(E169+F169)/(D169-14*3)</f>
        <v>0.4838709677419355</v>
      </c>
    </row>
    <row r="170" spans="1:2" ht="12.75">
      <c r="A170">
        <v>330</v>
      </c>
      <c r="B170">
        <f t="shared" si="15"/>
        <v>4.240149526378825</v>
      </c>
    </row>
    <row r="171" spans="1:2" ht="12.75">
      <c r="A171">
        <v>360</v>
      </c>
      <c r="B171">
        <f t="shared" si="15"/>
        <v>4.603077630321433</v>
      </c>
    </row>
    <row r="172" spans="1:7" ht="12.75">
      <c r="A172">
        <v>390</v>
      </c>
      <c r="B172">
        <f t="shared" si="15"/>
        <v>4.9660057342640425</v>
      </c>
      <c r="C172">
        <v>12403</v>
      </c>
      <c r="D172">
        <v>3000</v>
      </c>
      <c r="E172">
        <v>84</v>
      </c>
      <c r="F172">
        <v>506</v>
      </c>
      <c r="G172">
        <f>(E172+F172)/(D172-14*3)</f>
        <v>0.19945909398242057</v>
      </c>
    </row>
    <row r="173" spans="1:2" ht="12.75">
      <c r="A173">
        <v>420</v>
      </c>
      <c r="B173">
        <f t="shared" si="15"/>
        <v>5.328933838206651</v>
      </c>
    </row>
    <row r="176" ht="12.75">
      <c r="A176" t="s">
        <v>39</v>
      </c>
    </row>
    <row r="177" ht="12.75">
      <c r="A177" s="1"/>
    </row>
    <row r="178" spans="1:7" ht="12.75">
      <c r="A178" t="s">
        <v>0</v>
      </c>
      <c r="B178" t="s">
        <v>1</v>
      </c>
      <c r="C178" t="s">
        <v>2</v>
      </c>
      <c r="D178" t="s">
        <v>3</v>
      </c>
      <c r="E178" t="s">
        <v>4</v>
      </c>
      <c r="F178" t="s">
        <v>5</v>
      </c>
      <c r="G178" t="s">
        <v>6</v>
      </c>
    </row>
    <row r="179" spans="1:2" ht="12.75">
      <c r="A179">
        <v>80</v>
      </c>
      <c r="B179">
        <f aca="true" t="shared" si="16" ref="B179:B191">(A179+20.495)/82.661</f>
        <v>1.2157486601904164</v>
      </c>
    </row>
    <row r="180" spans="1:2" ht="12.75">
      <c r="A180">
        <v>90</v>
      </c>
      <c r="B180">
        <f t="shared" si="16"/>
        <v>1.3367246948379525</v>
      </c>
    </row>
    <row r="181" spans="1:2" ht="12.75">
      <c r="A181" s="1">
        <v>100</v>
      </c>
      <c r="B181">
        <f t="shared" si="16"/>
        <v>1.457700729485489</v>
      </c>
    </row>
    <row r="182" spans="1:2" ht="12.75">
      <c r="A182">
        <v>120</v>
      </c>
      <c r="B182">
        <f t="shared" si="16"/>
        <v>1.6996527987805616</v>
      </c>
    </row>
    <row r="183" spans="1:2" ht="12.75">
      <c r="A183">
        <v>150</v>
      </c>
      <c r="B183">
        <f t="shared" si="16"/>
        <v>2.0625809027231705</v>
      </c>
    </row>
    <row r="184" spans="1:2" ht="12.75">
      <c r="A184">
        <v>180</v>
      </c>
      <c r="B184">
        <f t="shared" si="16"/>
        <v>2.4255090066657794</v>
      </c>
    </row>
    <row r="185" spans="1:2" ht="12.75">
      <c r="A185">
        <v>210</v>
      </c>
      <c r="B185">
        <f t="shared" si="16"/>
        <v>2.7884371106083883</v>
      </c>
    </row>
    <row r="186" spans="1:2" ht="12.75">
      <c r="A186">
        <v>240</v>
      </c>
      <c r="B186">
        <f t="shared" si="16"/>
        <v>3.1513652145509976</v>
      </c>
    </row>
    <row r="187" spans="1:2" ht="12.75">
      <c r="A187">
        <v>270</v>
      </c>
      <c r="B187">
        <f t="shared" si="16"/>
        <v>3.5142933184936065</v>
      </c>
    </row>
    <row r="188" spans="1:7" ht="12.75">
      <c r="A188">
        <v>300</v>
      </c>
      <c r="B188">
        <f t="shared" si="16"/>
        <v>3.8772214224362154</v>
      </c>
      <c r="C188">
        <v>116337</v>
      </c>
      <c r="D188">
        <v>2920</v>
      </c>
      <c r="E188">
        <v>207</v>
      </c>
      <c r="F188">
        <v>1193</v>
      </c>
      <c r="G188">
        <f>(E188+F188)/(D188-14*3)</f>
        <v>0.4864489228630994</v>
      </c>
    </row>
    <row r="189" spans="1:2" ht="12.75">
      <c r="A189">
        <v>330</v>
      </c>
      <c r="B189">
        <f t="shared" si="16"/>
        <v>4.240149526378825</v>
      </c>
    </row>
    <row r="190" spans="1:2" ht="12.75">
      <c r="A190">
        <v>360</v>
      </c>
      <c r="B190">
        <f t="shared" si="16"/>
        <v>4.603077630321433</v>
      </c>
    </row>
    <row r="191" spans="1:7" ht="12.75">
      <c r="A191">
        <v>390</v>
      </c>
      <c r="B191">
        <f t="shared" si="16"/>
        <v>4.9660057342640425</v>
      </c>
      <c r="C191">
        <v>12493</v>
      </c>
      <c r="D191">
        <v>3075</v>
      </c>
      <c r="E191">
        <v>84</v>
      </c>
      <c r="F191">
        <v>503</v>
      </c>
      <c r="G191">
        <f>(E191+F191)/(D191-14*3)</f>
        <v>0.19353775140125287</v>
      </c>
    </row>
    <row r="197" ht="12.75">
      <c r="A197" t="s">
        <v>38</v>
      </c>
    </row>
    <row r="198" ht="12.75">
      <c r="A198" s="1"/>
    </row>
    <row r="199" spans="1:7" ht="12.75">
      <c r="A199" t="s">
        <v>0</v>
      </c>
      <c r="B199" t="s">
        <v>1</v>
      </c>
      <c r="C199" t="s">
        <v>2</v>
      </c>
      <c r="D199" t="s">
        <v>3</v>
      </c>
      <c r="E199" t="s">
        <v>4</v>
      </c>
      <c r="F199" t="s">
        <v>5</v>
      </c>
      <c r="G199" t="s">
        <v>6</v>
      </c>
    </row>
    <row r="200" spans="1:2" ht="12.75">
      <c r="A200">
        <v>80</v>
      </c>
      <c r="B200">
        <f aca="true" t="shared" si="17" ref="B200:B212">(A200+20.495)/82.661</f>
        <v>1.2157486601904164</v>
      </c>
    </row>
    <row r="201" spans="1:2" ht="12.75">
      <c r="A201">
        <v>90</v>
      </c>
      <c r="B201">
        <f t="shared" si="17"/>
        <v>1.3367246948379525</v>
      </c>
    </row>
    <row r="202" spans="1:2" ht="12.75">
      <c r="A202" s="1">
        <v>100</v>
      </c>
      <c r="B202">
        <f t="shared" si="17"/>
        <v>1.457700729485489</v>
      </c>
    </row>
    <row r="203" spans="1:2" ht="12.75">
      <c r="A203">
        <v>120</v>
      </c>
      <c r="B203">
        <f t="shared" si="17"/>
        <v>1.6996527987805616</v>
      </c>
    </row>
    <row r="204" spans="1:2" ht="12.75">
      <c r="A204">
        <v>150</v>
      </c>
      <c r="B204">
        <f t="shared" si="17"/>
        <v>2.0625809027231705</v>
      </c>
    </row>
    <row r="205" spans="1:2" ht="12.75">
      <c r="A205">
        <v>180</v>
      </c>
      <c r="B205">
        <f t="shared" si="17"/>
        <v>2.4255090066657794</v>
      </c>
    </row>
    <row r="206" spans="1:2" ht="12.75">
      <c r="A206">
        <v>210</v>
      </c>
      <c r="B206">
        <f t="shared" si="17"/>
        <v>2.7884371106083883</v>
      </c>
    </row>
    <row r="207" spans="1:2" ht="12.75">
      <c r="A207">
        <v>240</v>
      </c>
      <c r="B207">
        <f t="shared" si="17"/>
        <v>3.1513652145509976</v>
      </c>
    </row>
    <row r="208" spans="1:2" ht="12.75">
      <c r="A208">
        <v>270</v>
      </c>
      <c r="B208">
        <f t="shared" si="17"/>
        <v>3.5142933184936065</v>
      </c>
    </row>
    <row r="209" spans="1:7" ht="12.75">
      <c r="A209">
        <v>300</v>
      </c>
      <c r="B209">
        <f t="shared" si="17"/>
        <v>3.8772214224362154</v>
      </c>
      <c r="C209">
        <v>34545</v>
      </c>
      <c r="D209">
        <v>3003</v>
      </c>
      <c r="E209">
        <v>221</v>
      </c>
      <c r="F209">
        <v>1132</v>
      </c>
      <c r="G209">
        <f>(E209+F209)/(D209-14*3)</f>
        <v>0.4569402228976697</v>
      </c>
    </row>
    <row r="210" spans="1:2" ht="12.75">
      <c r="A210">
        <v>330</v>
      </c>
      <c r="B210">
        <f t="shared" si="17"/>
        <v>4.240149526378825</v>
      </c>
    </row>
    <row r="211" spans="1:2" ht="12.75">
      <c r="A211">
        <v>360</v>
      </c>
      <c r="B211">
        <f t="shared" si="17"/>
        <v>4.603077630321433</v>
      </c>
    </row>
    <row r="212" spans="1:7" ht="12.75">
      <c r="A212">
        <v>390</v>
      </c>
      <c r="B212">
        <f t="shared" si="17"/>
        <v>4.9660057342640425</v>
      </c>
      <c r="C212">
        <v>13121</v>
      </c>
      <c r="D212">
        <v>3063</v>
      </c>
      <c r="E212">
        <v>140</v>
      </c>
      <c r="F212">
        <v>577</v>
      </c>
      <c r="G212">
        <f>(E212+F212)/(D212-14*3)</f>
        <v>0.23733862959285004</v>
      </c>
    </row>
    <row r="217" ht="12.75">
      <c r="A217" t="s">
        <v>41</v>
      </c>
    </row>
    <row r="218" ht="12.75">
      <c r="A218" s="1"/>
    </row>
    <row r="219" spans="1:7" ht="12.75">
      <c r="A219" t="s">
        <v>0</v>
      </c>
      <c r="B219" t="s">
        <v>1</v>
      </c>
      <c r="C219" t="s">
        <v>2</v>
      </c>
      <c r="D219" t="s">
        <v>3</v>
      </c>
      <c r="E219" t="s">
        <v>4</v>
      </c>
      <c r="F219" t="s">
        <v>5</v>
      </c>
      <c r="G219" t="s">
        <v>6</v>
      </c>
    </row>
    <row r="220" spans="1:2" ht="12.75">
      <c r="A220">
        <v>80</v>
      </c>
      <c r="B220">
        <f aca="true" t="shared" si="18" ref="B220:B232">(A220+20.495)/82.661</f>
        <v>1.2157486601904164</v>
      </c>
    </row>
    <row r="221" spans="1:2" ht="12.75">
      <c r="A221">
        <v>90</v>
      </c>
      <c r="B221">
        <f t="shared" si="18"/>
        <v>1.3367246948379525</v>
      </c>
    </row>
    <row r="222" spans="1:2" ht="12.75">
      <c r="A222" s="1">
        <v>100</v>
      </c>
      <c r="B222">
        <f t="shared" si="18"/>
        <v>1.457700729485489</v>
      </c>
    </row>
    <row r="223" spans="1:2" ht="12.75">
      <c r="A223">
        <v>120</v>
      </c>
      <c r="B223">
        <f t="shared" si="18"/>
        <v>1.6996527987805616</v>
      </c>
    </row>
    <row r="224" spans="1:2" ht="12.75">
      <c r="A224">
        <v>150</v>
      </c>
      <c r="B224">
        <f t="shared" si="18"/>
        <v>2.0625809027231705</v>
      </c>
    </row>
    <row r="225" spans="1:15" ht="12.75">
      <c r="A225">
        <v>180</v>
      </c>
      <c r="B225">
        <f t="shared" si="18"/>
        <v>2.4255090066657794</v>
      </c>
      <c r="N225">
        <v>3.37</v>
      </c>
      <c r="O225">
        <f>0.0887*N225^3-0.9333*N225^2+2.9354*N225-2.1848</f>
        <v>0.5028964210999991</v>
      </c>
    </row>
    <row r="226" spans="1:15" ht="12.75">
      <c r="A226">
        <v>210</v>
      </c>
      <c r="B226">
        <f t="shared" si="18"/>
        <v>2.7884371106083883</v>
      </c>
      <c r="N226" s="2">
        <v>3.38</v>
      </c>
      <c r="O226">
        <f>0.0887*N226^3-0.9333*N226^2+2.9354*N226-2.1848</f>
        <v>0.4995631463999999</v>
      </c>
    </row>
    <row r="227" spans="1:15" ht="12.75">
      <c r="A227">
        <v>240</v>
      </c>
      <c r="B227">
        <f t="shared" si="18"/>
        <v>3.1513652145509976</v>
      </c>
      <c r="C227">
        <v>22052</v>
      </c>
      <c r="D227">
        <v>2940</v>
      </c>
      <c r="E227">
        <v>369</v>
      </c>
      <c r="F227">
        <v>1290</v>
      </c>
      <c r="G227">
        <f>(E227+F227)/(D227-14*3)</f>
        <v>0.572463768115942</v>
      </c>
      <c r="N227">
        <v>3.36</v>
      </c>
      <c r="O227">
        <f>0.0887*N227^3-0.9333*N227^2+2.9354*N227-2.1848</f>
        <v>0.5062223872000002</v>
      </c>
    </row>
    <row r="228" spans="1:7" ht="12.75">
      <c r="A228">
        <v>270</v>
      </c>
      <c r="B228">
        <f t="shared" si="18"/>
        <v>3.5142933184936065</v>
      </c>
      <c r="C228">
        <v>18929</v>
      </c>
      <c r="D228">
        <v>2846</v>
      </c>
      <c r="E228">
        <v>291</v>
      </c>
      <c r="F228">
        <v>981</v>
      </c>
      <c r="G228">
        <f>(E228+F228)/(D228-14*3)</f>
        <v>0.4536376604850214</v>
      </c>
    </row>
    <row r="229" spans="1:7" ht="12.75">
      <c r="A229">
        <v>300</v>
      </c>
      <c r="B229">
        <f t="shared" si="18"/>
        <v>3.8772214224362154</v>
      </c>
      <c r="C229">
        <v>15140</v>
      </c>
      <c r="D229">
        <v>2792</v>
      </c>
      <c r="E229">
        <v>186</v>
      </c>
      <c r="F229">
        <v>736</v>
      </c>
      <c r="G229">
        <f>(E229+F229)/(D229-14*3)</f>
        <v>0.3352727272727273</v>
      </c>
    </row>
    <row r="230" spans="1:2" ht="12.75">
      <c r="A230">
        <v>330</v>
      </c>
      <c r="B230">
        <f t="shared" si="18"/>
        <v>4.240149526378825</v>
      </c>
    </row>
    <row r="231" spans="1:2" ht="12.75">
      <c r="A231">
        <v>360</v>
      </c>
      <c r="B231">
        <f t="shared" si="18"/>
        <v>4.603077630321433</v>
      </c>
    </row>
    <row r="232" spans="1:7" ht="12.75">
      <c r="A232">
        <v>390</v>
      </c>
      <c r="B232">
        <f t="shared" si="18"/>
        <v>4.9660057342640425</v>
      </c>
      <c r="C232">
        <v>13121</v>
      </c>
      <c r="D232">
        <v>3063</v>
      </c>
      <c r="E232">
        <v>140</v>
      </c>
      <c r="F232">
        <v>577</v>
      </c>
      <c r="G232">
        <f>(E232+F232)/(D232-14*3)</f>
        <v>0.23733862959285004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L23" sqref="L23"/>
    </sheetView>
  </sheetViews>
  <sheetFormatPr defaultColWidth="9.140625" defaultRowHeight="12.75"/>
  <sheetData>
    <row r="1" spans="1:9" ht="12.75">
      <c r="A1" t="s">
        <v>43</v>
      </c>
      <c r="E1" t="s">
        <v>42</v>
      </c>
      <c r="I1" t="s">
        <v>47</v>
      </c>
    </row>
    <row r="2" spans="1:11" ht="12.75">
      <c r="A2" t="s">
        <v>28</v>
      </c>
      <c r="B2" t="s">
        <v>33</v>
      </c>
      <c r="C2" t="s">
        <v>31</v>
      </c>
      <c r="E2" s="4" t="s">
        <v>28</v>
      </c>
      <c r="F2" s="4" t="s">
        <v>32</v>
      </c>
      <c r="G2" s="4" t="s">
        <v>31</v>
      </c>
      <c r="I2" t="s">
        <v>28</v>
      </c>
      <c r="J2" t="s">
        <v>33</v>
      </c>
      <c r="K2" t="s">
        <v>31</v>
      </c>
    </row>
    <row r="3" spans="1:11" ht="12.75">
      <c r="A3">
        <v>30</v>
      </c>
      <c r="B3">
        <v>1.06</v>
      </c>
      <c r="C3">
        <f>B3/4.07</f>
        <v>0.26044226044226043</v>
      </c>
      <c r="E3" s="4">
        <v>30</v>
      </c>
      <c r="F3" s="4">
        <v>1.04</v>
      </c>
      <c r="G3" s="4">
        <f>F3/4.07</f>
        <v>0.25552825552825553</v>
      </c>
      <c r="I3">
        <v>30</v>
      </c>
      <c r="J3">
        <v>1.05</v>
      </c>
      <c r="K3">
        <v>0.25798525798525795</v>
      </c>
    </row>
    <row r="4" spans="1:11" ht="12.75">
      <c r="A4">
        <v>40</v>
      </c>
      <c r="B4">
        <v>1.25</v>
      </c>
      <c r="C4">
        <f aca="true" t="shared" si="0" ref="C4:C9">B4/4.07</f>
        <v>0.3071253071253071</v>
      </c>
      <c r="E4" s="4">
        <v>40</v>
      </c>
      <c r="F4" s="4">
        <v>1.27</v>
      </c>
      <c r="G4" s="4">
        <f aca="true" t="shared" si="1" ref="G4:G10">F4/4.07</f>
        <v>0.312039312039312</v>
      </c>
      <c r="I4">
        <v>40</v>
      </c>
      <c r="J4">
        <v>1.25</v>
      </c>
      <c r="K4">
        <v>0.3071253071253071</v>
      </c>
    </row>
    <row r="5" spans="1:11" ht="12.75">
      <c r="A5">
        <v>50</v>
      </c>
      <c r="B5">
        <v>1.51</v>
      </c>
      <c r="C5">
        <f t="shared" si="0"/>
        <v>0.37100737100737097</v>
      </c>
      <c r="E5" s="4">
        <v>50</v>
      </c>
      <c r="F5" s="4">
        <v>1.51</v>
      </c>
      <c r="G5" s="4">
        <f t="shared" si="1"/>
        <v>0.37100737100737097</v>
      </c>
      <c r="I5">
        <v>50</v>
      </c>
      <c r="J5">
        <v>1.5</v>
      </c>
      <c r="K5">
        <v>0.36855036855036855</v>
      </c>
    </row>
    <row r="6" spans="1:11" ht="12.75">
      <c r="A6">
        <v>60</v>
      </c>
      <c r="B6">
        <v>1.69</v>
      </c>
      <c r="C6">
        <f t="shared" si="0"/>
        <v>0.41523341523341517</v>
      </c>
      <c r="E6" s="4">
        <v>60</v>
      </c>
      <c r="F6" s="4">
        <v>1.73</v>
      </c>
      <c r="G6" s="4">
        <f t="shared" si="1"/>
        <v>0.425061425061425</v>
      </c>
      <c r="I6">
        <v>60</v>
      </c>
      <c r="J6">
        <v>1.7</v>
      </c>
      <c r="K6">
        <v>0.41769041769041765</v>
      </c>
    </row>
    <row r="7" spans="1:11" ht="12.75">
      <c r="A7">
        <v>70</v>
      </c>
      <c r="B7">
        <v>1.88</v>
      </c>
      <c r="C7">
        <f t="shared" si="0"/>
        <v>0.46191646191646185</v>
      </c>
      <c r="E7" s="4">
        <v>70</v>
      </c>
      <c r="F7" s="4">
        <v>1.91</v>
      </c>
      <c r="G7" s="4">
        <f t="shared" si="1"/>
        <v>0.4692874692874692</v>
      </c>
      <c r="I7">
        <v>70</v>
      </c>
      <c r="J7">
        <v>1.85</v>
      </c>
      <c r="K7">
        <v>0.45454545454545453</v>
      </c>
    </row>
    <row r="8" spans="1:11" ht="12.75">
      <c r="A8">
        <v>80</v>
      </c>
      <c r="B8">
        <v>1.98</v>
      </c>
      <c r="C8">
        <f t="shared" si="0"/>
        <v>0.48648648648648646</v>
      </c>
      <c r="E8" s="4">
        <v>80</v>
      </c>
      <c r="F8" s="7">
        <v>2.09</v>
      </c>
      <c r="G8" s="4">
        <f t="shared" si="1"/>
        <v>0.5135135135135135</v>
      </c>
      <c r="I8">
        <v>80</v>
      </c>
      <c r="J8">
        <v>2</v>
      </c>
      <c r="K8">
        <v>0.49140049140049136</v>
      </c>
    </row>
    <row r="9" spans="1:11" ht="12.75">
      <c r="A9">
        <v>100</v>
      </c>
      <c r="B9">
        <v>2.21</v>
      </c>
      <c r="C9">
        <f t="shared" si="0"/>
        <v>0.542997542997543</v>
      </c>
      <c r="E9" s="4">
        <v>90</v>
      </c>
      <c r="F9" s="4">
        <v>2.2</v>
      </c>
      <c r="G9" s="4">
        <f t="shared" si="1"/>
        <v>0.5405405405405406</v>
      </c>
      <c r="I9">
        <v>100</v>
      </c>
      <c r="J9">
        <v>2.17</v>
      </c>
      <c r="K9">
        <v>0.5331695331695331</v>
      </c>
    </row>
    <row r="10" spans="1:11" ht="12.75">
      <c r="A10">
        <v>250</v>
      </c>
      <c r="B10">
        <v>2.88</v>
      </c>
      <c r="C10">
        <f>B10/4.07</f>
        <v>0.7076167076167076</v>
      </c>
      <c r="E10" s="4">
        <v>100</v>
      </c>
      <c r="F10" s="4">
        <v>2.26</v>
      </c>
      <c r="G10" s="4">
        <f t="shared" si="1"/>
        <v>0.5552825552825552</v>
      </c>
      <c r="I10">
        <v>250</v>
      </c>
      <c r="J10">
        <v>2.8</v>
      </c>
      <c r="K10">
        <v>0.6879606879606879</v>
      </c>
    </row>
    <row r="11" spans="1:11" ht="12.75">
      <c r="A11">
        <v>500</v>
      </c>
      <c r="B11">
        <v>3.15</v>
      </c>
      <c r="C11">
        <f>B11/4.07</f>
        <v>0.7739557739557739</v>
      </c>
      <c r="I11">
        <v>500</v>
      </c>
      <c r="J11">
        <v>3.15</v>
      </c>
      <c r="K11">
        <v>0.7739557739557739</v>
      </c>
    </row>
    <row r="12" spans="1:11" ht="12.75">
      <c r="A12">
        <v>700</v>
      </c>
      <c r="B12">
        <v>3.2</v>
      </c>
      <c r="C12">
        <f>B12/4.07</f>
        <v>0.7862407862407862</v>
      </c>
      <c r="I12">
        <v>700</v>
      </c>
      <c r="J12">
        <v>3.2</v>
      </c>
      <c r="K12">
        <v>0.7862407862407862</v>
      </c>
    </row>
    <row r="13" spans="1:11" ht="12.75">
      <c r="A13">
        <v>800</v>
      </c>
      <c r="B13">
        <v>3.28</v>
      </c>
      <c r="C13">
        <f>B13/4.07</f>
        <v>0.8058968058968058</v>
      </c>
      <c r="I13">
        <v>800</v>
      </c>
      <c r="J13">
        <v>3.28</v>
      </c>
      <c r="K13">
        <v>0.8058968058968058</v>
      </c>
    </row>
    <row r="14" spans="1:11" ht="12.75">
      <c r="A14">
        <v>900</v>
      </c>
      <c r="B14">
        <v>3.32</v>
      </c>
      <c r="C14">
        <f>B14/4.07</f>
        <v>0.8157248157248156</v>
      </c>
      <c r="I14">
        <v>900</v>
      </c>
      <c r="J14">
        <v>3.32</v>
      </c>
      <c r="K14">
        <v>0.8157248157248156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5">
      <selection activeCell="E33" sqref="E33"/>
    </sheetView>
  </sheetViews>
  <sheetFormatPr defaultColWidth="9.140625" defaultRowHeight="12.75"/>
  <sheetData>
    <row r="1" ht="12.75">
      <c r="A1" t="s">
        <v>46</v>
      </c>
    </row>
    <row r="2" spans="1:5" ht="12.75">
      <c r="A2" t="s">
        <v>45</v>
      </c>
      <c r="E2" t="s">
        <v>44</v>
      </c>
    </row>
    <row r="4" spans="1:7" ht="12.75">
      <c r="A4">
        <v>1</v>
      </c>
      <c r="B4">
        <v>0</v>
      </c>
      <c r="C4">
        <v>0</v>
      </c>
      <c r="E4">
        <v>1</v>
      </c>
      <c r="F4">
        <v>88.017</v>
      </c>
      <c r="G4">
        <v>-33.412</v>
      </c>
    </row>
    <row r="5" spans="1:7" ht="12.75">
      <c r="A5">
        <v>2</v>
      </c>
      <c r="B5">
        <v>0</v>
      </c>
      <c r="C5">
        <v>0</v>
      </c>
      <c r="E5">
        <v>2</v>
      </c>
      <c r="F5">
        <v>86.776</v>
      </c>
      <c r="G5">
        <v>-24.685</v>
      </c>
    </row>
    <row r="6" spans="1:7" ht="12.75">
      <c r="A6">
        <v>3</v>
      </c>
      <c r="B6">
        <v>0</v>
      </c>
      <c r="C6">
        <v>0</v>
      </c>
      <c r="E6">
        <v>3</v>
      </c>
      <c r="F6">
        <v>80.559</v>
      </c>
      <c r="G6">
        <v>-15.196</v>
      </c>
    </row>
    <row r="7" spans="1:7" ht="12.75">
      <c r="A7">
        <v>4</v>
      </c>
      <c r="B7">
        <v>82.055</v>
      </c>
      <c r="C7">
        <v>-6.803</v>
      </c>
      <c r="E7">
        <v>4</v>
      </c>
      <c r="F7">
        <v>90.861</v>
      </c>
      <c r="G7">
        <v>-43.921</v>
      </c>
    </row>
    <row r="8" spans="1:7" ht="12.75">
      <c r="A8">
        <v>5</v>
      </c>
      <c r="B8">
        <v>81.875</v>
      </c>
      <c r="C8">
        <v>-4.682</v>
      </c>
      <c r="E8">
        <v>5</v>
      </c>
      <c r="F8">
        <v>87.773</v>
      </c>
      <c r="G8">
        <v>-28.388</v>
      </c>
    </row>
    <row r="9" spans="1:7" ht="12.75">
      <c r="A9">
        <v>6</v>
      </c>
      <c r="B9">
        <v>79.68</v>
      </c>
      <c r="C9">
        <v>-1.107</v>
      </c>
      <c r="E9">
        <v>6</v>
      </c>
      <c r="F9">
        <v>85.638</v>
      </c>
      <c r="G9">
        <v>-13.243</v>
      </c>
    </row>
    <row r="10" spans="1:7" ht="12.75">
      <c r="A10">
        <v>7</v>
      </c>
      <c r="B10">
        <v>77.171</v>
      </c>
      <c r="C10">
        <v>11.603</v>
      </c>
      <c r="E10">
        <v>7</v>
      </c>
      <c r="F10">
        <v>83.62</v>
      </c>
      <c r="G10">
        <v>-17.971</v>
      </c>
    </row>
    <row r="11" spans="1:7" ht="12.75">
      <c r="A11">
        <v>8</v>
      </c>
      <c r="B11">
        <v>80.359</v>
      </c>
      <c r="C11">
        <v>-0.577</v>
      </c>
      <c r="E11">
        <v>8</v>
      </c>
      <c r="F11">
        <v>8.939</v>
      </c>
      <c r="G11">
        <v>331.345</v>
      </c>
    </row>
    <row r="12" spans="1:7" ht="12.75">
      <c r="A12">
        <v>9</v>
      </c>
      <c r="B12">
        <v>0.006</v>
      </c>
      <c r="C12">
        <v>0</v>
      </c>
      <c r="E12">
        <v>9</v>
      </c>
      <c r="F12">
        <v>86.218</v>
      </c>
      <c r="G12">
        <v>-21.926</v>
      </c>
    </row>
    <row r="13" spans="1:7" ht="12.75">
      <c r="A13">
        <v>10</v>
      </c>
      <c r="B13">
        <v>82.854</v>
      </c>
      <c r="C13">
        <v>-5.128</v>
      </c>
      <c r="E13">
        <v>10</v>
      </c>
      <c r="F13">
        <v>90.038</v>
      </c>
      <c r="G13">
        <v>-21.599</v>
      </c>
    </row>
    <row r="14" spans="1:7" ht="12.75">
      <c r="A14">
        <v>11</v>
      </c>
      <c r="B14">
        <v>81.295</v>
      </c>
      <c r="C14">
        <v>-2.55</v>
      </c>
      <c r="E14">
        <v>11</v>
      </c>
      <c r="F14">
        <v>80.076</v>
      </c>
      <c r="G14">
        <v>-2.46</v>
      </c>
    </row>
    <row r="15" spans="1:7" ht="12.75">
      <c r="A15">
        <v>12</v>
      </c>
      <c r="B15">
        <v>83.462</v>
      </c>
      <c r="C15">
        <v>-7.93</v>
      </c>
      <c r="E15">
        <v>12</v>
      </c>
      <c r="F15">
        <v>85.669</v>
      </c>
      <c r="G15">
        <v>-22.13</v>
      </c>
    </row>
    <row r="16" spans="1:7" ht="12.75">
      <c r="A16">
        <v>13</v>
      </c>
      <c r="B16">
        <v>77.876</v>
      </c>
      <c r="C16">
        <v>-3.56</v>
      </c>
      <c r="E16">
        <v>13</v>
      </c>
      <c r="F16">
        <v>82.215</v>
      </c>
      <c r="G16">
        <v>-28.2</v>
      </c>
    </row>
    <row r="17" spans="1:7" ht="12.75">
      <c r="A17">
        <v>14</v>
      </c>
      <c r="B17">
        <v>80.211</v>
      </c>
      <c r="C17">
        <v>-9.751</v>
      </c>
      <c r="E17">
        <v>14</v>
      </c>
      <c r="F17">
        <v>94.315</v>
      </c>
      <c r="G17">
        <v>-67.967</v>
      </c>
    </row>
    <row r="18" spans="1:7" ht="12.75">
      <c r="A18">
        <v>15</v>
      </c>
      <c r="B18">
        <v>82.661</v>
      </c>
      <c r="C18">
        <v>-5.379</v>
      </c>
      <c r="E18">
        <v>15</v>
      </c>
      <c r="F18">
        <v>82.756</v>
      </c>
      <c r="G18">
        <v>-13.203</v>
      </c>
    </row>
    <row r="19" spans="1:7" ht="12.75">
      <c r="A19">
        <v>16</v>
      </c>
      <c r="B19">
        <v>80.662</v>
      </c>
      <c r="C19">
        <v>-9.06</v>
      </c>
      <c r="E19">
        <v>16</v>
      </c>
      <c r="F19">
        <v>82.449</v>
      </c>
      <c r="G19">
        <v>-20.349</v>
      </c>
    </row>
    <row r="20" spans="1:7" ht="12.75">
      <c r="A20">
        <v>17</v>
      </c>
      <c r="B20">
        <v>81.005</v>
      </c>
      <c r="C20">
        <v>-10.719</v>
      </c>
      <c r="E20">
        <v>17</v>
      </c>
      <c r="F20">
        <v>79.785</v>
      </c>
      <c r="G20">
        <v>-7.986</v>
      </c>
    </row>
    <row r="21" spans="1:7" ht="12.75">
      <c r="A21">
        <v>18</v>
      </c>
      <c r="B21">
        <v>81.37</v>
      </c>
      <c r="C21">
        <v>-4.981</v>
      </c>
      <c r="E21">
        <v>18</v>
      </c>
      <c r="F21">
        <v>84.015</v>
      </c>
      <c r="G21">
        <v>-20.606</v>
      </c>
    </row>
    <row r="22" spans="1:7" ht="12.75">
      <c r="A22">
        <v>19</v>
      </c>
      <c r="B22">
        <v>79.4</v>
      </c>
      <c r="C22">
        <v>-2.78</v>
      </c>
      <c r="E22">
        <v>19</v>
      </c>
      <c r="F22">
        <v>81.048</v>
      </c>
      <c r="G22">
        <v>-16.375</v>
      </c>
    </row>
    <row r="23" spans="1:7" ht="12.75">
      <c r="A23">
        <v>20</v>
      </c>
      <c r="B23">
        <v>79.165</v>
      </c>
      <c r="C23">
        <v>-5.028</v>
      </c>
      <c r="E23">
        <v>20</v>
      </c>
      <c r="F23">
        <v>82.077</v>
      </c>
      <c r="G23">
        <v>-20.394</v>
      </c>
    </row>
    <row r="24" spans="1:7" ht="12.75">
      <c r="A24">
        <v>21</v>
      </c>
      <c r="B24">
        <v>0</v>
      </c>
      <c r="C24">
        <v>0</v>
      </c>
      <c r="E24">
        <v>21</v>
      </c>
      <c r="F24">
        <v>69.99</v>
      </c>
      <c r="G24">
        <v>5.519</v>
      </c>
    </row>
    <row r="25" spans="1:7" ht="12.75">
      <c r="A25">
        <v>22</v>
      </c>
      <c r="B25">
        <v>79.732</v>
      </c>
      <c r="C25">
        <v>-5.906</v>
      </c>
      <c r="E25">
        <v>22</v>
      </c>
      <c r="F25">
        <v>0</v>
      </c>
      <c r="G25">
        <v>372.838</v>
      </c>
    </row>
    <row r="26" spans="1:7" ht="12.75">
      <c r="A26">
        <v>23</v>
      </c>
      <c r="B26">
        <v>84.43</v>
      </c>
      <c r="C26">
        <v>-15.822</v>
      </c>
      <c r="E26">
        <v>23</v>
      </c>
      <c r="F26">
        <v>84.365</v>
      </c>
      <c r="G26">
        <v>-18.585</v>
      </c>
    </row>
    <row r="27" spans="1:7" ht="12.75">
      <c r="A27">
        <v>24</v>
      </c>
      <c r="B27">
        <v>81.736</v>
      </c>
      <c r="C27">
        <v>-1.343</v>
      </c>
      <c r="E27">
        <v>24</v>
      </c>
      <c r="F27">
        <v>82.103</v>
      </c>
      <c r="G27">
        <v>-9.622</v>
      </c>
    </row>
    <row r="28" spans="1:7" ht="12.75">
      <c r="A28">
        <v>25</v>
      </c>
      <c r="B28">
        <v>82.923</v>
      </c>
      <c r="C28">
        <v>1.085</v>
      </c>
      <c r="E28">
        <v>25</v>
      </c>
      <c r="F28">
        <v>0</v>
      </c>
      <c r="G28">
        <v>0</v>
      </c>
    </row>
    <row r="29" spans="1:7" ht="12.75">
      <c r="A29">
        <v>26</v>
      </c>
      <c r="B29">
        <v>81.517</v>
      </c>
      <c r="C29">
        <v>-5.614</v>
      </c>
      <c r="E29">
        <v>26</v>
      </c>
      <c r="F29">
        <v>89.129</v>
      </c>
      <c r="G29">
        <v>-40.909</v>
      </c>
    </row>
    <row r="30" spans="1:7" ht="12.75">
      <c r="A30">
        <v>27</v>
      </c>
      <c r="B30">
        <v>0</v>
      </c>
      <c r="C30">
        <v>0</v>
      </c>
      <c r="E30">
        <v>27</v>
      </c>
      <c r="F30">
        <v>79.144</v>
      </c>
      <c r="G30">
        <v>-11.887</v>
      </c>
    </row>
    <row r="31" spans="1:7" ht="12.75">
      <c r="A31">
        <v>28</v>
      </c>
      <c r="B31">
        <v>80.029</v>
      </c>
      <c r="C31">
        <v>-11.699</v>
      </c>
      <c r="E31">
        <v>28</v>
      </c>
      <c r="F31">
        <v>80.978</v>
      </c>
      <c r="G31">
        <v>-16.25</v>
      </c>
    </row>
    <row r="32" spans="1:7" ht="12.75">
      <c r="A32">
        <v>29</v>
      </c>
      <c r="B32">
        <v>80.761</v>
      </c>
      <c r="C32">
        <v>-9.265</v>
      </c>
      <c r="E32">
        <v>29</v>
      </c>
      <c r="F32">
        <v>81.925</v>
      </c>
      <c r="G32">
        <v>-12.429</v>
      </c>
    </row>
    <row r="33" spans="1:7" ht="12.75">
      <c r="A33">
        <v>30</v>
      </c>
      <c r="B33">
        <v>71.927</v>
      </c>
      <c r="C33">
        <v>13.472</v>
      </c>
      <c r="E33">
        <v>30</v>
      </c>
      <c r="F33">
        <v>78.156</v>
      </c>
      <c r="G33">
        <v>-10.824</v>
      </c>
    </row>
    <row r="34" spans="1:7" ht="12.75">
      <c r="A34">
        <v>31</v>
      </c>
      <c r="B34">
        <v>80.581</v>
      </c>
      <c r="C34">
        <v>-7.783</v>
      </c>
      <c r="E34">
        <v>31</v>
      </c>
      <c r="F34">
        <v>81.376</v>
      </c>
      <c r="G34">
        <v>-10.776</v>
      </c>
    </row>
    <row r="35" spans="1:7" ht="12.75">
      <c r="A35">
        <v>32</v>
      </c>
      <c r="B35">
        <v>78.562</v>
      </c>
      <c r="C35">
        <v>-3.92</v>
      </c>
      <c r="E35">
        <v>32</v>
      </c>
      <c r="F35">
        <v>79.292</v>
      </c>
      <c r="G35">
        <v>-7.554</v>
      </c>
    </row>
    <row r="36" spans="1:7" ht="12.75">
      <c r="A36">
        <v>33</v>
      </c>
      <c r="B36">
        <v>83.393</v>
      </c>
      <c r="C36">
        <v>-19.988</v>
      </c>
      <c r="E36">
        <v>33</v>
      </c>
      <c r="F36">
        <v>0</v>
      </c>
      <c r="G36">
        <v>0</v>
      </c>
    </row>
    <row r="37" spans="1:7" ht="12.75">
      <c r="A37">
        <v>34</v>
      </c>
      <c r="B37">
        <v>80.111</v>
      </c>
      <c r="C37">
        <v>-8.828</v>
      </c>
      <c r="E37">
        <v>34</v>
      </c>
      <c r="F37">
        <v>81.048</v>
      </c>
      <c r="G37">
        <v>-13.236</v>
      </c>
    </row>
    <row r="38" spans="1:7" ht="12.75">
      <c r="A38">
        <v>35</v>
      </c>
      <c r="B38">
        <v>79.992</v>
      </c>
      <c r="C38">
        <v>-5.975</v>
      </c>
      <c r="E38">
        <v>35</v>
      </c>
      <c r="F38">
        <v>81.073</v>
      </c>
      <c r="G38">
        <v>-9.463</v>
      </c>
    </row>
    <row r="39" spans="1:7" ht="12.75">
      <c r="A39">
        <v>36</v>
      </c>
      <c r="B39">
        <v>83.59</v>
      </c>
      <c r="C39">
        <v>-2.713</v>
      </c>
      <c r="E39">
        <v>36</v>
      </c>
      <c r="F39">
        <v>85.088</v>
      </c>
      <c r="G39">
        <v>-13.896</v>
      </c>
    </row>
    <row r="40" spans="1:7" ht="12.75">
      <c r="A40">
        <v>37</v>
      </c>
      <c r="B40">
        <v>81.059</v>
      </c>
      <c r="C40">
        <v>-10.731</v>
      </c>
      <c r="E40">
        <v>37</v>
      </c>
      <c r="F40">
        <v>79.902</v>
      </c>
      <c r="G40">
        <v>-7.222</v>
      </c>
    </row>
    <row r="41" spans="1:7" ht="12.75">
      <c r="A41">
        <v>38</v>
      </c>
      <c r="B41">
        <v>73.647</v>
      </c>
      <c r="C41">
        <v>-3.046</v>
      </c>
      <c r="E41">
        <v>38</v>
      </c>
      <c r="F41">
        <v>84.834</v>
      </c>
      <c r="G41">
        <v>-50.251</v>
      </c>
    </row>
    <row r="42" spans="1:7" ht="12.75">
      <c r="A42">
        <v>39</v>
      </c>
      <c r="B42">
        <v>78.847</v>
      </c>
      <c r="C42">
        <v>-9.801</v>
      </c>
      <c r="E42">
        <v>39</v>
      </c>
      <c r="F42">
        <v>76.591</v>
      </c>
      <c r="G42">
        <v>-5.717</v>
      </c>
    </row>
    <row r="43" spans="1:7" ht="12.75">
      <c r="A43">
        <v>40</v>
      </c>
      <c r="B43">
        <v>82.261</v>
      </c>
      <c r="C43">
        <v>-12.796</v>
      </c>
      <c r="E43">
        <v>40</v>
      </c>
      <c r="F43">
        <v>84.492</v>
      </c>
      <c r="G43">
        <v>-26.507</v>
      </c>
    </row>
    <row r="44" spans="1:7" ht="12.75">
      <c r="A44">
        <v>41</v>
      </c>
      <c r="B44">
        <v>80.897</v>
      </c>
      <c r="C44">
        <v>-6.245</v>
      </c>
      <c r="E44">
        <v>41</v>
      </c>
      <c r="F44">
        <v>83.333</v>
      </c>
      <c r="G44">
        <v>-20.944</v>
      </c>
    </row>
    <row r="45" spans="1:7" ht="12.75">
      <c r="A45">
        <v>42</v>
      </c>
      <c r="B45">
        <v>0</v>
      </c>
      <c r="C45">
        <v>0</v>
      </c>
      <c r="E45">
        <v>42</v>
      </c>
      <c r="F45">
        <v>0</v>
      </c>
      <c r="G45">
        <v>0</v>
      </c>
    </row>
    <row r="46" spans="1:7" ht="12.75">
      <c r="A46">
        <v>43</v>
      </c>
      <c r="B46">
        <v>0.001</v>
      </c>
      <c r="C46">
        <v>0</v>
      </c>
      <c r="E46">
        <v>43</v>
      </c>
      <c r="F46">
        <v>81.581</v>
      </c>
      <c r="G46">
        <v>-7.238</v>
      </c>
    </row>
    <row r="47" spans="1:7" ht="12.75">
      <c r="A47">
        <v>44</v>
      </c>
      <c r="B47">
        <v>82.937</v>
      </c>
      <c r="C47">
        <v>-7.024</v>
      </c>
      <c r="E47">
        <v>44</v>
      </c>
      <c r="F47">
        <v>83.434</v>
      </c>
      <c r="G47">
        <v>-18.047</v>
      </c>
    </row>
    <row r="48" spans="1:7" ht="12.75">
      <c r="A48">
        <v>45</v>
      </c>
      <c r="B48">
        <v>32.28</v>
      </c>
      <c r="C48">
        <v>207.66</v>
      </c>
      <c r="E48">
        <v>45</v>
      </c>
      <c r="F48">
        <v>83.199</v>
      </c>
      <c r="G48">
        <v>-13.766</v>
      </c>
    </row>
    <row r="49" spans="1:7" ht="12.75">
      <c r="A49">
        <v>46</v>
      </c>
      <c r="B49">
        <v>79.428</v>
      </c>
      <c r="C49">
        <v>-13.985</v>
      </c>
      <c r="E49">
        <v>46</v>
      </c>
      <c r="F49">
        <v>84.989</v>
      </c>
      <c r="G49">
        <v>-38.186</v>
      </c>
    </row>
    <row r="50" spans="1:7" ht="12.75">
      <c r="A50">
        <v>47</v>
      </c>
      <c r="B50">
        <v>81.356</v>
      </c>
      <c r="C50">
        <v>-13.484</v>
      </c>
      <c r="E50">
        <v>47</v>
      </c>
      <c r="F50">
        <v>85.929</v>
      </c>
      <c r="G50">
        <v>-26.486</v>
      </c>
    </row>
    <row r="51" spans="1:7" ht="12.75">
      <c r="A51">
        <v>48</v>
      </c>
      <c r="B51">
        <v>82.769</v>
      </c>
      <c r="C51">
        <v>-0.741</v>
      </c>
      <c r="E51">
        <v>48</v>
      </c>
      <c r="F51">
        <v>92.283</v>
      </c>
      <c r="G51">
        <v>-37.179</v>
      </c>
    </row>
    <row r="52" spans="1:7" ht="12.75">
      <c r="A52">
        <v>49</v>
      </c>
      <c r="B52">
        <v>79.174</v>
      </c>
      <c r="C52">
        <v>-1.615</v>
      </c>
      <c r="E52">
        <v>49</v>
      </c>
      <c r="F52">
        <v>87.534</v>
      </c>
      <c r="G52">
        <v>-21.626</v>
      </c>
    </row>
    <row r="53" spans="1:7" ht="12.75">
      <c r="A53">
        <v>50</v>
      </c>
      <c r="B53">
        <v>81.956</v>
      </c>
      <c r="C53">
        <v>-10.019</v>
      </c>
      <c r="E53">
        <v>50</v>
      </c>
      <c r="F53">
        <v>91.713</v>
      </c>
      <c r="G53">
        <v>-50.363</v>
      </c>
    </row>
    <row r="54" spans="1:7" ht="12.75">
      <c r="A54">
        <v>51</v>
      </c>
      <c r="B54">
        <v>80.129</v>
      </c>
      <c r="C54">
        <v>-11.889</v>
      </c>
      <c r="E54">
        <v>51</v>
      </c>
      <c r="F54">
        <v>85.587</v>
      </c>
      <c r="G54">
        <v>-27.799</v>
      </c>
    </row>
    <row r="55" spans="1:7" ht="12.75">
      <c r="A55">
        <v>52</v>
      </c>
      <c r="B55">
        <v>83.298</v>
      </c>
      <c r="C55">
        <v>-3.995</v>
      </c>
      <c r="E55">
        <v>52</v>
      </c>
      <c r="F55">
        <v>90.543</v>
      </c>
      <c r="G55">
        <v>-32.005</v>
      </c>
    </row>
    <row r="56" spans="1:7" ht="12.75">
      <c r="A56">
        <v>53</v>
      </c>
      <c r="B56">
        <v>83.546</v>
      </c>
      <c r="C56">
        <v>-14.212</v>
      </c>
      <c r="E56">
        <v>53</v>
      </c>
      <c r="F56">
        <v>84.557</v>
      </c>
      <c r="G56">
        <v>-14.152</v>
      </c>
    </row>
    <row r="57" spans="1:7" ht="12.75">
      <c r="A57">
        <v>54</v>
      </c>
      <c r="B57">
        <v>81.82</v>
      </c>
      <c r="C57">
        <v>-8.979</v>
      </c>
      <c r="E57">
        <v>54</v>
      </c>
      <c r="F57">
        <v>84.576</v>
      </c>
      <c r="G57">
        <v>-18.784</v>
      </c>
    </row>
    <row r="58" spans="1:7" ht="12.75">
      <c r="A58">
        <v>55</v>
      </c>
      <c r="B58">
        <v>80.804</v>
      </c>
      <c r="C58">
        <v>-3.478</v>
      </c>
      <c r="E58">
        <v>55</v>
      </c>
      <c r="F58">
        <v>86.176</v>
      </c>
      <c r="G58">
        <v>-21.757</v>
      </c>
    </row>
    <row r="59" spans="1:7" ht="12.75">
      <c r="A59">
        <v>56</v>
      </c>
      <c r="B59">
        <v>84.053</v>
      </c>
      <c r="C59">
        <v>-5.416</v>
      </c>
      <c r="E59">
        <v>56</v>
      </c>
      <c r="F59">
        <v>92.418</v>
      </c>
      <c r="G59">
        <v>-32.942</v>
      </c>
    </row>
    <row r="60" spans="1:7" ht="12.75">
      <c r="A60">
        <v>57</v>
      </c>
      <c r="B60">
        <v>80.37</v>
      </c>
      <c r="C60">
        <v>-0.225</v>
      </c>
      <c r="E60">
        <v>57</v>
      </c>
      <c r="F60">
        <v>82.176</v>
      </c>
      <c r="G60">
        <v>-1.596</v>
      </c>
    </row>
    <row r="61" spans="1:7" ht="12.75">
      <c r="A61">
        <v>58</v>
      </c>
      <c r="B61">
        <v>80.182</v>
      </c>
      <c r="C61">
        <v>-7.834</v>
      </c>
      <c r="E61">
        <v>58</v>
      </c>
      <c r="F61">
        <v>88.333</v>
      </c>
      <c r="G61">
        <v>-36.363</v>
      </c>
    </row>
    <row r="62" spans="1:7" ht="12.75">
      <c r="A62">
        <v>59</v>
      </c>
      <c r="B62">
        <v>80.13</v>
      </c>
      <c r="C62">
        <v>-10.22</v>
      </c>
      <c r="E62">
        <v>59</v>
      </c>
      <c r="F62">
        <v>89.026</v>
      </c>
      <c r="G62">
        <v>-24.245</v>
      </c>
    </row>
    <row r="63" spans="1:7" ht="12.75">
      <c r="A63">
        <v>60</v>
      </c>
      <c r="B63">
        <v>0</v>
      </c>
      <c r="C63">
        <v>0</v>
      </c>
      <c r="E63">
        <v>60</v>
      </c>
      <c r="F63">
        <v>0</v>
      </c>
      <c r="G63">
        <v>0</v>
      </c>
    </row>
    <row r="64" spans="1:7" ht="12.75">
      <c r="A64">
        <v>61</v>
      </c>
      <c r="B64">
        <v>0</v>
      </c>
      <c r="C64">
        <v>0</v>
      </c>
      <c r="E64">
        <v>61</v>
      </c>
      <c r="F64">
        <v>0</v>
      </c>
      <c r="G64">
        <v>0</v>
      </c>
    </row>
    <row r="65" spans="1:7" ht="12.75">
      <c r="A65">
        <v>62</v>
      </c>
      <c r="B65">
        <v>0</v>
      </c>
      <c r="C65">
        <v>0</v>
      </c>
      <c r="E65">
        <v>62</v>
      </c>
      <c r="F65">
        <v>78.292</v>
      </c>
      <c r="G65">
        <v>-4.644</v>
      </c>
    </row>
    <row r="66" spans="1:7" ht="12.75">
      <c r="A66">
        <v>63</v>
      </c>
      <c r="B66">
        <v>0</v>
      </c>
      <c r="C66">
        <v>0</v>
      </c>
      <c r="E66">
        <v>63</v>
      </c>
      <c r="F66">
        <v>0</v>
      </c>
      <c r="G66">
        <v>0</v>
      </c>
    </row>
    <row r="67" spans="2:7" ht="12.75">
      <c r="B67">
        <f>SUM(B7:B62)/54</f>
        <v>75.39509259259259</v>
      </c>
      <c r="C67">
        <f>SUM(C7:C62)/50</f>
        <v>-2.0161199999999995</v>
      </c>
      <c r="F67">
        <f>SUM(F7:F62)/56</f>
        <v>76.86366071428573</v>
      </c>
      <c r="G67">
        <f>SUM(G7:G62)/56</f>
        <v>-6.5289642857142836</v>
      </c>
    </row>
    <row r="68" spans="2:7" ht="12.75">
      <c r="B68">
        <f>(SUM(B4:B66)-B48)/50</f>
        <v>80.7811</v>
      </c>
      <c r="C68">
        <f>(SUM(C4:C66)-C48)/51</f>
        <v>-6.0483529411764705</v>
      </c>
      <c r="F68">
        <f>(SUM(F4:F66)-F11)/56</f>
        <v>82.66196428571429</v>
      </c>
      <c r="G68">
        <f>(SUM(G4:G66)-G11-G25)/56</f>
        <v>-20.495392857142857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2006-08-14T21:50:42Z</cp:lastPrinted>
  <dcterms:created xsi:type="dcterms:W3CDTF">1996-10-14T23:33:28Z</dcterms:created>
  <dcterms:modified xsi:type="dcterms:W3CDTF">2006-08-24T18:40:09Z</dcterms:modified>
  <cp:category/>
  <cp:version/>
  <cp:contentType/>
  <cp:contentStatus/>
</cp:coreProperties>
</file>