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6" windowWidth="9576" windowHeight="8316" firstSheet="4" activeTab="8"/>
  </bookViews>
  <sheets>
    <sheet name="summary" sheetId="1" r:id="rId1"/>
    <sheet name="summary2" sheetId="2" r:id="rId2"/>
    <sheet name="pre-anneal" sheetId="3" r:id="rId3"/>
    <sheet name="5min anneal" sheetId="4" r:id="rId4"/>
    <sheet name="15min anneal" sheetId="5" r:id="rId5"/>
    <sheet name="40min anneal" sheetId="6" r:id="rId6"/>
    <sheet name="80min anneal" sheetId="7" r:id="rId7"/>
    <sheet name="200min anneal" sheetId="8" r:id="rId8"/>
    <sheet name="400min anneal" sheetId="9" r:id="rId9"/>
    <sheet name="Calibration" sheetId="10" r:id="rId10"/>
  </sheets>
  <definedNames>
    <definedName name="corr">'5min anneal'!$H$3</definedName>
    <definedName name="corr15">'15min anneal'!$G$3</definedName>
    <definedName name="corr1522">'15min anneal'!$G$5</definedName>
    <definedName name="corr200" localSheetId="8">'400min anneal'!$G$3</definedName>
    <definedName name="corr200">'200min anneal'!$G$3</definedName>
    <definedName name="corr40" localSheetId="7">'200min anneal'!$G$3</definedName>
    <definedName name="corr40" localSheetId="8">'400min anneal'!$G$3</definedName>
    <definedName name="corr40" localSheetId="6">'80min anneal'!$G$3</definedName>
    <definedName name="corr40">'40min anneal'!$G$3</definedName>
    <definedName name="gain">'pre-anneal'!$C$3</definedName>
    <definedName name="offset">'pre-anneal'!$E$3</definedName>
    <definedName name="t0">'summary2'!$D$1</definedName>
  </definedNames>
  <calcPr fullCalcOnLoad="1"/>
</workbook>
</file>

<file path=xl/sharedStrings.xml><?xml version="1.0" encoding="utf-8"?>
<sst xmlns="http://schemas.openxmlformats.org/spreadsheetml/2006/main" count="753" uniqueCount="59">
  <si>
    <t>V_thresh</t>
  </si>
  <si>
    <t>Q_thresh</t>
  </si>
  <si>
    <t>non_zero</t>
  </si>
  <si>
    <t>zero</t>
  </si>
  <si>
    <t>missing</t>
  </si>
  <si>
    <t>coin</t>
  </si>
  <si>
    <t>corr_eff</t>
  </si>
  <si>
    <t>Vrev = 20</t>
  </si>
  <si>
    <t>Vrev = 30</t>
  </si>
  <si>
    <t>Vrev = 40</t>
  </si>
  <si>
    <t>Vrev = 60</t>
  </si>
  <si>
    <t>Vrev = 80</t>
  </si>
  <si>
    <t>T= -10 C</t>
  </si>
  <si>
    <t>Vrev = 100</t>
  </si>
  <si>
    <t xml:space="preserve"> </t>
  </si>
  <si>
    <t>Vrev = 250</t>
  </si>
  <si>
    <t>pre anneal</t>
  </si>
  <si>
    <t>Calibration done at -10 C</t>
  </si>
  <si>
    <t>med Q</t>
  </si>
  <si>
    <t>Low voltage (60V)</t>
  </si>
  <si>
    <t>I = 9.8 uA</t>
  </si>
  <si>
    <t>gain = 96.808</t>
  </si>
  <si>
    <t>offset = -11.13</t>
  </si>
  <si>
    <t>I = 8 uA</t>
  </si>
  <si>
    <t>I = 11.5</t>
  </si>
  <si>
    <t>I = 12</t>
  </si>
  <si>
    <t>Vrev = 150</t>
  </si>
  <si>
    <t xml:space="preserve">n-type detector ' 187-4' irradiated </t>
  </si>
  <si>
    <t>Vrev = 200</t>
  </si>
  <si>
    <t>I = 13.5</t>
  </si>
  <si>
    <t>I = 13.9</t>
  </si>
  <si>
    <t>Vrev = 300</t>
  </si>
  <si>
    <t>Vrev = 350</t>
  </si>
  <si>
    <t>Vrev = 400</t>
  </si>
  <si>
    <t xml:space="preserve">Voltage </t>
  </si>
  <si>
    <t>eff at 1fC</t>
  </si>
  <si>
    <t xml:space="preserve">correction from sorce displacement: </t>
  </si>
  <si>
    <t>T = -10</t>
  </si>
  <si>
    <t>I = 10 uA</t>
  </si>
  <si>
    <t>I = 8.6 uA</t>
  </si>
  <si>
    <t>I = 6.9 uA</t>
  </si>
  <si>
    <t>5 min anneal</t>
  </si>
  <si>
    <t>I = 5.9 uA</t>
  </si>
  <si>
    <t>I = 7.8 uA</t>
  </si>
  <si>
    <t>Vrev = 50</t>
  </si>
  <si>
    <t>I = 9.8</t>
  </si>
  <si>
    <t>source position "1"</t>
  </si>
  <si>
    <t xml:space="preserve">correction for position 1: </t>
  </si>
  <si>
    <t>corrections for position 2:</t>
  </si>
  <si>
    <t>15 min anneal</t>
  </si>
  <si>
    <t>I</t>
  </si>
  <si>
    <t>40 min anneal</t>
  </si>
  <si>
    <t>80 min anneal</t>
  </si>
  <si>
    <t>anneal time</t>
  </si>
  <si>
    <t>2.5 fC</t>
  </si>
  <si>
    <t>voltage</t>
  </si>
  <si>
    <t>V = 150V</t>
  </si>
  <si>
    <t>I (uA)</t>
  </si>
  <si>
    <t>200 min anneal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</si>
</sst>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19">
    <font>
      <sz val="10"/>
      <name val="Arial"/>
      <family val="0"/>
    </font>
    <font>
      <b/>
      <sz val="10"/>
      <name val="Arial"/>
      <family val="2"/>
    </font>
    <font>
      <sz val="8.5"/>
      <name val="Arial"/>
      <family val="0"/>
    </font>
    <font>
      <b/>
      <sz val="8.5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.25"/>
      <name val="Arial"/>
      <family val="0"/>
    </font>
    <font>
      <b/>
      <sz val="8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vertAlign val="superscript"/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2075"/>
          <c:w val="0.879"/>
          <c:h val="0.85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summary!$A$1</c:f>
              <c:strCache>
                <c:ptCount val="1"/>
                <c:pt idx="0">
                  <c:v>pre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summary!$A$4:$A$14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summary!$C$4:$C$14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summary!$A$16</c:f>
              <c:strCache>
                <c:ptCount val="1"/>
                <c:pt idx="0">
                  <c:v>5 min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summary!$A$19:$A$29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summary!$C$19:$C$29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summary!$A$31</c:f>
              <c:strCache>
                <c:ptCount val="1"/>
                <c:pt idx="0">
                  <c:v>15 min anneal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summary!$A$34:$A$44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summary!$C$34:$C$44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summary!$A$47</c:f>
              <c:strCache>
                <c:ptCount val="1"/>
                <c:pt idx="0">
                  <c:v>40 min anneal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summary!$A$50:$A$60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summary!$C$50:$C$60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summary!$E$1</c:f>
              <c:strCache>
                <c:ptCount val="1"/>
                <c:pt idx="0">
                  <c:v>80 min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summary!$E$4:$E$14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summary!$G$4:$G$14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summary!$E$16</c:f>
              <c:strCache>
                <c:ptCount val="1"/>
                <c:pt idx="0">
                  <c:v>200 min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summary!$E$19:$E$29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summary!$G$19:$G$29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53683591"/>
        <c:axId val="13390272"/>
      </c:scatterChart>
      <c:valAx>
        <c:axId val="53683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90272"/>
        <c:crosses val="autoZero"/>
        <c:crossBetween val="midCat"/>
        <c:dispUnits/>
      </c:valAx>
      <c:valAx>
        <c:axId val="13390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med 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835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4"/>
          <c:y val="0.3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5325"/>
          <c:w val="0.89275"/>
          <c:h val="0.79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'pre-anneal'!$A$66</c:f>
              <c:strCache>
                <c:ptCount val="1"/>
                <c:pt idx="0">
                  <c:v>Vrev = 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'pre-anneal'!$B$69:$B$77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'pre-anneal'!$G$69:$G$77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61949457"/>
        <c:axId val="20674202"/>
      </c:scatterChart>
      <c:valAx>
        <c:axId val="61949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74202"/>
        <c:crosses val="autoZero"/>
        <c:crossBetween val="midCat"/>
        <c:dispUnits/>
      </c:valAx>
      <c:valAx>
        <c:axId val="206742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9494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5875"/>
          <c:w val="0.89525"/>
          <c:h val="0.75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'pre-anneal'!$A$82</c:f>
              <c:strCache>
                <c:ptCount val="1"/>
                <c:pt idx="0">
                  <c:v>Vrev = 150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'pre-anneal'!$B$85:$B$93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'pre-anneal'!$G$85:$G$93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51850091"/>
        <c:axId val="63997636"/>
      </c:scatterChart>
      <c:valAx>
        <c:axId val="51850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97636"/>
        <c:crosses val="autoZero"/>
        <c:crossBetween val="midCat"/>
        <c:dispUnits/>
      </c:valAx>
      <c:valAx>
        <c:axId val="63997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8500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15575"/>
          <c:w val="0.8935"/>
          <c:h val="0.77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'pre-anneal'!$A$96</c:f>
              <c:strCache>
                <c:ptCount val="1"/>
                <c:pt idx="0">
                  <c:v>Vrev = 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'pre-anneal'!$B$99:$B$105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'pre-anneal'!$G$99:$G$105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39107813"/>
        <c:axId val="16425998"/>
      </c:scatterChart>
      <c:valAx>
        <c:axId val="39107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25998"/>
        <c:crosses val="autoZero"/>
        <c:crossBetween val="midCat"/>
        <c:dispUnits/>
      </c:valAx>
      <c:valAx>
        <c:axId val="16425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1078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'pre-anneal'!$A$111</c:f>
              <c:strCache>
                <c:ptCount val="1"/>
                <c:pt idx="0">
                  <c:v>Vrev = 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'pre-anneal'!$B$114:$B$121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'pre-anneal'!$G$114:$G$121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13616255"/>
        <c:axId val="55437432"/>
      </c:scatterChart>
      <c:valAx>
        <c:axId val="13616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437432"/>
        <c:crosses val="autoZero"/>
        <c:crossBetween val="midCat"/>
        <c:dispUnits/>
      </c:valAx>
      <c:valAx>
        <c:axId val="55437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6162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14625"/>
          <c:w val="0.89175"/>
          <c:h val="0.7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'pre-anneal'!$A$126</c:f>
              <c:strCache>
                <c:ptCount val="1"/>
                <c:pt idx="0">
                  <c:v>Vrev = 300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'pre-anneal'!$B$132:$B$133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'pre-anneal'!$G$132:$G$133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29174841"/>
        <c:axId val="61246978"/>
      </c:scatterChart>
      <c:valAx>
        <c:axId val="29174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246978"/>
        <c:crosses val="autoZero"/>
        <c:crossBetween val="midCat"/>
        <c:dispUnits/>
      </c:valAx>
      <c:valAx>
        <c:axId val="61246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1748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'pre-anneal'!$A$141</c:f>
              <c:strCache>
                <c:ptCount val="1"/>
                <c:pt idx="0">
                  <c:v>Vrev = 350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'pre-anneal'!$B$147:$B$148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'pre-anneal'!$G$147:$G$148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14351891"/>
        <c:axId val="62058156"/>
      </c:scatterChart>
      <c:valAx>
        <c:axId val="14351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058156"/>
        <c:crosses val="autoZero"/>
        <c:crossBetween val="midCat"/>
        <c:dispUnits/>
      </c:valAx>
      <c:valAx>
        <c:axId val="62058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3518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'pre-anneal'!$A$155</c:f>
              <c:strCache>
                <c:ptCount val="1"/>
                <c:pt idx="0">
                  <c:v>Vrev = 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'pre-anneal'!$B$162:$B$163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'pre-anneal'!$G$162:$G$163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21652493"/>
        <c:axId val="60654710"/>
      </c:scatterChart>
      <c:valAx>
        <c:axId val="21652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54710"/>
        <c:crosses val="autoZero"/>
        <c:crossBetween val="midCat"/>
        <c:dispUnits/>
      </c:valAx>
      <c:valAx>
        <c:axId val="60654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524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675"/>
          <c:w val="0.89675"/>
          <c:h val="0.74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'5min anneal'!$A$28</c:f>
              <c:strCache>
                <c:ptCount val="1"/>
                <c:pt idx="0">
                  <c:v>Vrev = 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'5min anneal'!$B$31:$B$36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'5min anneal'!$G$31:$G$36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9021479"/>
        <c:axId val="14084448"/>
      </c:scatterChart>
      <c:valAx>
        <c:axId val="9021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84448"/>
        <c:crosses val="autoZero"/>
        <c:crossBetween val="midCat"/>
        <c:dispUnits/>
      </c:valAx>
      <c:valAx>
        <c:axId val="14084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214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83"/>
          <c:w val="0.89325"/>
          <c:h val="0.75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'5min anneal'!$A$17</c:f>
              <c:strCache>
                <c:ptCount val="1"/>
                <c:pt idx="0">
                  <c:v>Vrev = 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'5min anneal'!$B$20:$B$23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'5min anneal'!$G$20:$G$23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59651169"/>
        <c:axId val="67098474"/>
      </c:scatterChart>
      <c:valAx>
        <c:axId val="59651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98474"/>
        <c:crosses val="autoZero"/>
        <c:crossBetween val="midCat"/>
        <c:dispUnits/>
      </c:valAx>
      <c:valAx>
        <c:axId val="67098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511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645"/>
          <c:w val="0.897"/>
          <c:h val="0.7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'5min anneal'!$A$41</c:f>
              <c:strCache>
                <c:ptCount val="1"/>
                <c:pt idx="0">
                  <c:v>Vrev = 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'5min anneal'!$B$44:$B$50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'5min anneal'!$G$44:$G$50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67015355"/>
        <c:axId val="66267284"/>
      </c:scatterChart>
      <c:valAx>
        <c:axId val="67015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267284"/>
        <c:crosses val="autoZero"/>
        <c:crossBetween val="midCat"/>
        <c:dispUnits/>
      </c:valAx>
      <c:valAx>
        <c:axId val="66267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153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.1"/>
          <c:w val="0.8735"/>
          <c:h val="0.83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summary!$A$1</c:f>
              <c:strCache>
                <c:ptCount val="1"/>
                <c:pt idx="0">
                  <c:v>pre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summary!$B$3:$B$10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summary!$A$16</c:f>
              <c:strCache>
                <c:ptCount val="1"/>
                <c:pt idx="0">
                  <c:v>5 min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summary!$A$18:$A$29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summary!$B$18:$B$29</c:f>
              <c:numCache>
                <c:ptCount val="12"/>
                <c:pt idx="0">
                  <c:v>0.31094028001225316</c:v>
                </c:pt>
                <c:pt idx="1">
                  <c:v>0.5582473830952567</c:v>
                </c:pt>
                <c:pt idx="2">
                  <c:v>0.7137154100278189</c:v>
                </c:pt>
                <c:pt idx="3">
                  <c:v>0.8212057629775634</c:v>
                </c:pt>
                <c:pt idx="4">
                  <c:v>0.8449022366407974</c:v>
                </c:pt>
                <c:pt idx="5">
                  <c:v>0.8237338385857991</c:v>
                </c:pt>
                <c:pt idx="6">
                  <c:v>0.8187554069674289</c:v>
                </c:pt>
                <c:pt idx="7">
                  <c:v>0.842559244708363</c:v>
                </c:pt>
                <c:pt idx="8">
                  <c:v>0.8078210191389495</c:v>
                </c:pt>
                <c:pt idx="9">
                  <c:v>0.833762961801659</c:v>
                </c:pt>
                <c:pt idx="10">
                  <c:v>0.8229805317144707</c:v>
                </c:pt>
                <c:pt idx="11">
                  <c:v>0.8413181938072447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summary!$A$31</c:f>
              <c:strCache>
                <c:ptCount val="1"/>
                <c:pt idx="0">
                  <c:v>15 min anneal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summary!$A$33:$A$44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summary!$B$33:$B$44</c:f>
              <c:numCache>
                <c:ptCount val="12"/>
                <c:pt idx="0">
                  <c:v>0.3153691992413005</c:v>
                </c:pt>
                <c:pt idx="1">
                  <c:v>0.6109317145051832</c:v>
                </c:pt>
                <c:pt idx="2">
                  <c:v>0.6879556656102277</c:v>
                </c:pt>
                <c:pt idx="3">
                  <c:v>0.7503393935397769</c:v>
                </c:pt>
                <c:pt idx="4">
                  <c:v>0.7955868147720958</c:v>
                </c:pt>
                <c:pt idx="5">
                  <c:v>0.8142473392224876</c:v>
                </c:pt>
                <c:pt idx="6">
                  <c:v>0.8110505272771141</c:v>
                </c:pt>
                <c:pt idx="7">
                  <c:v>0.7789945217379984</c:v>
                </c:pt>
                <c:pt idx="8">
                  <c:v>0.8287119222149354</c:v>
                </c:pt>
                <c:pt idx="9">
                  <c:v>0.8166869662627431</c:v>
                </c:pt>
                <c:pt idx="10">
                  <c:v>0.8095858188172241</c:v>
                </c:pt>
                <c:pt idx="11">
                  <c:v>0.8225483916838379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summary!$A$47</c:f>
              <c:strCache>
                <c:ptCount val="1"/>
                <c:pt idx="0">
                  <c:v>40 min anneal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summary!$A$49:$A$60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summary!$B$49:$B$60</c:f>
              <c:numCache>
                <c:ptCount val="12"/>
                <c:pt idx="0">
                  <c:v>0.3292573090909091</c:v>
                </c:pt>
                <c:pt idx="1">
                  <c:v>0.5819082533748702</c:v>
                </c:pt>
                <c:pt idx="2">
                  <c:v>0.7079907829787234</c:v>
                </c:pt>
                <c:pt idx="3">
                  <c:v>0.7745705387131953</c:v>
                </c:pt>
                <c:pt idx="4">
                  <c:v>0.7897467538873995</c:v>
                </c:pt>
                <c:pt idx="5">
                  <c:v>0.791799558918919</c:v>
                </c:pt>
                <c:pt idx="6">
                  <c:v>0.7961968860215054</c:v>
                </c:pt>
                <c:pt idx="7">
                  <c:v>0.8104874128851541</c:v>
                </c:pt>
                <c:pt idx="8">
                  <c:v>0.8085611973969631</c:v>
                </c:pt>
                <c:pt idx="9">
                  <c:v>0.808511571963617</c:v>
                </c:pt>
                <c:pt idx="10">
                  <c:v>0.8144848922742111</c:v>
                </c:pt>
                <c:pt idx="11">
                  <c:v>0.8215197159763313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summary!$E$1</c:f>
              <c:strCache>
                <c:ptCount val="1"/>
                <c:pt idx="0">
                  <c:v>80 min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summary!$E$3:$E$14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summary!$F$3:$F$14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summary!$E$16</c:f>
              <c:strCache>
                <c:ptCount val="1"/>
                <c:pt idx="0">
                  <c:v>200 min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summary!$E$18:$E$29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summary!$F$18:$F$29</c:f>
              <c:numCache>
                <c:ptCount val="12"/>
                <c:pt idx="0">
                  <c:v>0.35120299548872175</c:v>
                </c:pt>
                <c:pt idx="1">
                  <c:v>0.6118646398199099</c:v>
                </c:pt>
                <c:pt idx="2">
                  <c:v>0.7416608546168958</c:v>
                </c:pt>
                <c:pt idx="3">
                  <c:v>0.7729161432806323</c:v>
                </c:pt>
                <c:pt idx="4">
                  <c:v>0.8230948428211586</c:v>
                </c:pt>
                <c:pt idx="5">
                  <c:v>0.81180744345679</c:v>
                </c:pt>
                <c:pt idx="6">
                  <c:v>0.8090657987012987</c:v>
                </c:pt>
                <c:pt idx="7">
                  <c:v>0.8265601950965049</c:v>
                </c:pt>
                <c:pt idx="8">
                  <c:v>0.812574284800787</c:v>
                </c:pt>
                <c:pt idx="9">
                  <c:v>0.8016822920667003</c:v>
                </c:pt>
                <c:pt idx="10">
                  <c:v>0.8095753600764087</c:v>
                </c:pt>
                <c:pt idx="11">
                  <c:v>0.8012033908227847</c:v>
                </c:pt>
              </c:numCache>
            </c:numRef>
          </c:yVal>
          <c:smooth val="1"/>
        </c:ser>
        <c:axId val="53403585"/>
        <c:axId val="10870218"/>
      </c:scatterChart>
      <c:valAx>
        <c:axId val="53403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70218"/>
        <c:crosses val="autoZero"/>
        <c:crossBetween val="midCat"/>
        <c:dispUnits/>
      </c:valAx>
      <c:valAx>
        <c:axId val="10870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efficiency at 1fC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035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6"/>
          <c:y val="0.3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6375"/>
          <c:w val="0.89425"/>
          <c:h val="0.78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'5min anneal'!$A$54</c:f>
              <c:strCache>
                <c:ptCount val="1"/>
                <c:pt idx="0">
                  <c:v>Vrev = 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'5min anneal'!$B$57:$B$64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'5min anneal'!$G$57:$G$64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59534645"/>
        <c:axId val="66049758"/>
      </c:scatterChart>
      <c:valAx>
        <c:axId val="59534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49758"/>
        <c:crosses val="autoZero"/>
        <c:crossBetween val="midCat"/>
        <c:dispUnits/>
      </c:valAx>
      <c:valAx>
        <c:axId val="66049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5346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5275"/>
          <c:w val="0.899"/>
          <c:h val="0.79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'5min anneal'!$A$69</c:f>
              <c:strCache>
                <c:ptCount val="1"/>
                <c:pt idx="0">
                  <c:v>Vrev = 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'5min anneal'!$B$72:$B$80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'5min anneal'!$G$72:$G$80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57576911"/>
        <c:axId val="48430152"/>
      </c:scatterChart>
      <c:valAx>
        <c:axId val="57576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430152"/>
        <c:crosses val="autoZero"/>
        <c:crossBetween val="midCat"/>
        <c:dispUnits/>
      </c:valAx>
      <c:valAx>
        <c:axId val="48430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769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59"/>
          <c:w val="0.895"/>
          <c:h val="0.7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'5min anneal'!$A$85</c:f>
              <c:strCache>
                <c:ptCount val="1"/>
                <c:pt idx="0">
                  <c:v>Vrev = 150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'5min anneal'!$B$88:$B$96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'5min anneal'!$G$88:$G$96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33218185"/>
        <c:axId val="30528210"/>
      </c:scatterChart>
      <c:valAx>
        <c:axId val="33218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528210"/>
        <c:crosses val="autoZero"/>
        <c:crossBetween val="midCat"/>
        <c:dispUnits/>
      </c:valAx>
      <c:valAx>
        <c:axId val="30528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181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"/>
          <c:w val="0.89575"/>
          <c:h val="0.79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'5min anneal'!$A$100</c:f>
              <c:strCache>
                <c:ptCount val="1"/>
                <c:pt idx="0">
                  <c:v>Vrev = 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'5min anneal'!$B$103:$B$110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'5min anneal'!$G$103:$G$110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6318435"/>
        <c:axId val="56865916"/>
      </c:scatterChart>
      <c:valAx>
        <c:axId val="6318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65916"/>
        <c:crosses val="autoZero"/>
        <c:crossBetween val="midCat"/>
        <c:dispUnits/>
      </c:valAx>
      <c:valAx>
        <c:axId val="56865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184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485"/>
          <c:w val="0.89625"/>
          <c:h val="0.78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'5min anneal'!$A$115</c:f>
              <c:strCache>
                <c:ptCount val="1"/>
                <c:pt idx="0">
                  <c:v>Vrev = 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'5min anneal'!$B$118:$B$124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'5min anneal'!$G$118:$G$124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42031197"/>
        <c:axId val="42736454"/>
      </c:scatterChart>
      <c:valAx>
        <c:axId val="42031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36454"/>
        <c:crosses val="autoZero"/>
        <c:crossBetween val="midCat"/>
        <c:dispUnits/>
      </c:valAx>
      <c:valAx>
        <c:axId val="42736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311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'5min anneal'!$A$130</c:f>
              <c:strCache>
                <c:ptCount val="1"/>
                <c:pt idx="0">
                  <c:v>Vrev = 300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'5min anneal'!$B$136:$B$137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'5min anneal'!$G$136:$G$137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49083767"/>
        <c:axId val="39100720"/>
      </c:scatterChart>
      <c:valAx>
        <c:axId val="49083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00720"/>
        <c:crosses val="autoZero"/>
        <c:crossBetween val="midCat"/>
        <c:dispUnits/>
      </c:valAx>
      <c:valAx>
        <c:axId val="39100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837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625"/>
          <c:w val="0.89675"/>
          <c:h val="0.75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'5min anneal'!$A$145</c:f>
              <c:strCache>
                <c:ptCount val="1"/>
                <c:pt idx="0">
                  <c:v>Vrev = 350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'5min anneal'!$B$151:$B$153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'5min anneal'!$G$151:$G$153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16362161"/>
        <c:axId val="13041722"/>
      </c:scatterChart>
      <c:valAx>
        <c:axId val="16362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41722"/>
        <c:crosses val="autoZero"/>
        <c:crossBetween val="midCat"/>
        <c:dispUnits/>
      </c:valAx>
      <c:valAx>
        <c:axId val="13041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3621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5825"/>
          <c:w val="0.89475"/>
          <c:h val="0.7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'5min anneal'!$A$159</c:f>
              <c:strCache>
                <c:ptCount val="1"/>
                <c:pt idx="0">
                  <c:v>Vrev = 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'5min anneal'!$B$165:$B$167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'5min anneal'!$G$165:$G$167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50266635"/>
        <c:axId val="49746532"/>
      </c:scatterChart>
      <c:valAx>
        <c:axId val="50266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746532"/>
        <c:crosses val="autoZero"/>
        <c:crossBetween val="midCat"/>
        <c:dispUnits/>
      </c:valAx>
      <c:valAx>
        <c:axId val="49746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2666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16825"/>
          <c:w val="0.8895"/>
          <c:h val="0.77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'15min anneal'!$A$17</c:f>
              <c:strCache>
                <c:ptCount val="1"/>
                <c:pt idx="0">
                  <c:v>Vrev = 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'15min anneal'!$B$20:$B$23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'15min anneal'!$G$20:$G$23</c:f>
              <c:numCache>
                <c:ptCount val="4"/>
                <c:pt idx="0">
                  <c:v>0.6109317145051832</c:v>
                </c:pt>
                <c:pt idx="1">
                  <c:v>0.4746126347689223</c:v>
                </c:pt>
                <c:pt idx="2">
                  <c:v>0.27622722064232924</c:v>
                </c:pt>
                <c:pt idx="3">
                  <c:v>0.13950625688881782</c:v>
                </c:pt>
              </c:numCache>
            </c:numRef>
          </c:yVal>
          <c:smooth val="1"/>
        </c:ser>
        <c:axId val="45065605"/>
        <c:axId val="2937262"/>
      </c:scatterChart>
      <c:valAx>
        <c:axId val="45065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7262"/>
        <c:crosses val="autoZero"/>
        <c:crossBetween val="midCat"/>
        <c:dispUnits/>
      </c:valAx>
      <c:valAx>
        <c:axId val="2937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0656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7425"/>
          <c:w val="0.8955"/>
          <c:h val="0.78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'15min anneal'!$A$28</c:f>
              <c:strCache>
                <c:ptCount val="1"/>
                <c:pt idx="0">
                  <c:v>Vrev = 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'15min anneal'!$B$31:$B$35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'15min anneal'!$G$31:$G$35</c:f>
              <c:numCache>
                <c:ptCount val="5"/>
                <c:pt idx="0">
                  <c:v>0.6879556656102277</c:v>
                </c:pt>
                <c:pt idx="1">
                  <c:v>0.6203550664936573</c:v>
                </c:pt>
                <c:pt idx="2">
                  <c:v>0.4793760648614502</c:v>
                </c:pt>
                <c:pt idx="3">
                  <c:v>0.26093824689324735</c:v>
                </c:pt>
                <c:pt idx="4">
                  <c:v>0.14338786346129478</c:v>
                </c:pt>
              </c:numCache>
            </c:numRef>
          </c:yVal>
          <c:smooth val="1"/>
        </c:ser>
        <c:axId val="26435359"/>
        <c:axId val="36591640"/>
      </c:scatterChart>
      <c:valAx>
        <c:axId val="26435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591640"/>
        <c:crosses val="autoZero"/>
        <c:crossBetween val="midCat"/>
        <c:dispUnits/>
      </c:valAx>
      <c:valAx>
        <c:axId val="36591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4353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10025"/>
          <c:w val="0.8755"/>
          <c:h val="0.83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summary!$A$1</c:f>
              <c:strCache>
                <c:ptCount val="1"/>
                <c:pt idx="0">
                  <c:v>pre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summary!$A$3:$A$10</c:f>
              <c:numCache>
                <c:ptCount val="8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150</c:v>
                </c:pt>
                <c:pt idx="7">
                  <c:v>200</c:v>
                </c:pt>
              </c:numCache>
            </c:numRef>
          </c:xVal>
          <c:yVal>
            <c:numRef>
              <c:f>summary!$B$3:$B$10</c:f>
              <c:numCache>
                <c:ptCount val="8"/>
                <c:pt idx="0">
                  <c:v>0.29760604347826086</c:v>
                </c:pt>
                <c:pt idx="1">
                  <c:v>0.5491485813333333</c:v>
                </c:pt>
                <c:pt idx="2">
                  <c:v>0.6824999999999997</c:v>
                </c:pt>
                <c:pt idx="3">
                  <c:v>0.7753148648345485</c:v>
                </c:pt>
                <c:pt idx="4">
                  <c:v>0.8116965572305973</c:v>
                </c:pt>
                <c:pt idx="5">
                  <c:v>0.7900948137092315</c:v>
                </c:pt>
                <c:pt idx="6">
                  <c:v>0.7940186122917863</c:v>
                </c:pt>
                <c:pt idx="7">
                  <c:v>0.804328175389755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summary!$A$16</c:f>
              <c:strCache>
                <c:ptCount val="1"/>
                <c:pt idx="0">
                  <c:v>5 min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summary!$A$18:$A$29</c:f>
              <c:numCache>
                <c:ptCount val="12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150</c:v>
                </c:pt>
                <c:pt idx="7">
                  <c:v>200</c:v>
                </c:pt>
                <c:pt idx="8">
                  <c:v>250</c:v>
                </c:pt>
                <c:pt idx="9">
                  <c:v>300</c:v>
                </c:pt>
                <c:pt idx="10">
                  <c:v>350</c:v>
                </c:pt>
                <c:pt idx="11">
                  <c:v>400</c:v>
                </c:pt>
              </c:numCache>
            </c:numRef>
          </c:xVal>
          <c:yVal>
            <c:numRef>
              <c:f>summary!$B$18:$B$29</c:f>
              <c:numCache>
                <c:ptCount val="12"/>
                <c:pt idx="0">
                  <c:v>0.31094028001225316</c:v>
                </c:pt>
                <c:pt idx="1">
                  <c:v>0.5582473830952567</c:v>
                </c:pt>
                <c:pt idx="2">
                  <c:v>0.7137154100278189</c:v>
                </c:pt>
                <c:pt idx="3">
                  <c:v>0.8212057629775634</c:v>
                </c:pt>
                <c:pt idx="4">
                  <c:v>0.8449022366407974</c:v>
                </c:pt>
                <c:pt idx="5">
                  <c:v>0.8237338385857991</c:v>
                </c:pt>
                <c:pt idx="6">
                  <c:v>0.8187554069674289</c:v>
                </c:pt>
                <c:pt idx="7">
                  <c:v>0.842559244708363</c:v>
                </c:pt>
                <c:pt idx="8">
                  <c:v>0.8078210191389495</c:v>
                </c:pt>
                <c:pt idx="9">
                  <c:v>0.833762961801659</c:v>
                </c:pt>
                <c:pt idx="10">
                  <c:v>0.8229805317144707</c:v>
                </c:pt>
                <c:pt idx="11">
                  <c:v>0.8413181938072447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summary!$A$31</c:f>
              <c:strCache>
                <c:ptCount val="1"/>
                <c:pt idx="0">
                  <c:v>15 min anneal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summary!$A$33:$A$44</c:f>
              <c:numCache>
                <c:ptCount val="12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80</c:v>
                </c:pt>
                <c:pt idx="5">
                  <c:v>100</c:v>
                </c:pt>
                <c:pt idx="6">
                  <c:v>150</c:v>
                </c:pt>
                <c:pt idx="7">
                  <c:v>200</c:v>
                </c:pt>
                <c:pt idx="8">
                  <c:v>250</c:v>
                </c:pt>
                <c:pt idx="9">
                  <c:v>300</c:v>
                </c:pt>
                <c:pt idx="10">
                  <c:v>350</c:v>
                </c:pt>
                <c:pt idx="11">
                  <c:v>400</c:v>
                </c:pt>
              </c:numCache>
            </c:numRef>
          </c:xVal>
          <c:yVal>
            <c:numRef>
              <c:f>summary!$B$33:$B$44</c:f>
              <c:numCache>
                <c:ptCount val="12"/>
                <c:pt idx="0">
                  <c:v>0.3153691992413005</c:v>
                </c:pt>
                <c:pt idx="1">
                  <c:v>0.6109317145051832</c:v>
                </c:pt>
                <c:pt idx="2">
                  <c:v>0.6879556656102277</c:v>
                </c:pt>
                <c:pt idx="3">
                  <c:v>0.7503393935397769</c:v>
                </c:pt>
                <c:pt idx="4">
                  <c:v>0.7955868147720958</c:v>
                </c:pt>
                <c:pt idx="5">
                  <c:v>0.8142473392224876</c:v>
                </c:pt>
                <c:pt idx="6">
                  <c:v>0.8110505272771141</c:v>
                </c:pt>
                <c:pt idx="7">
                  <c:v>0.7789945217379984</c:v>
                </c:pt>
                <c:pt idx="8">
                  <c:v>0.8287119222149354</c:v>
                </c:pt>
                <c:pt idx="9">
                  <c:v>0.8166869662627431</c:v>
                </c:pt>
                <c:pt idx="10">
                  <c:v>0.8095858188172241</c:v>
                </c:pt>
                <c:pt idx="11">
                  <c:v>0.8225483916838379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summary!$A$47</c:f>
              <c:strCache>
                <c:ptCount val="1"/>
                <c:pt idx="0">
                  <c:v>40 min anneal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summary!$A$49:$A$60</c:f>
              <c:numCache>
                <c:ptCount val="12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80</c:v>
                </c:pt>
                <c:pt idx="5">
                  <c:v>100</c:v>
                </c:pt>
                <c:pt idx="6">
                  <c:v>150</c:v>
                </c:pt>
                <c:pt idx="7">
                  <c:v>200</c:v>
                </c:pt>
                <c:pt idx="8">
                  <c:v>250</c:v>
                </c:pt>
                <c:pt idx="9">
                  <c:v>300</c:v>
                </c:pt>
                <c:pt idx="10">
                  <c:v>350</c:v>
                </c:pt>
                <c:pt idx="11">
                  <c:v>400</c:v>
                </c:pt>
              </c:numCache>
            </c:numRef>
          </c:xVal>
          <c:yVal>
            <c:numRef>
              <c:f>summary!$B$49:$B$60</c:f>
              <c:numCache>
                <c:ptCount val="12"/>
                <c:pt idx="0">
                  <c:v>0.3292573090909091</c:v>
                </c:pt>
                <c:pt idx="1">
                  <c:v>0.5819082533748702</c:v>
                </c:pt>
                <c:pt idx="2">
                  <c:v>0.7079907829787234</c:v>
                </c:pt>
                <c:pt idx="3">
                  <c:v>0.7745705387131953</c:v>
                </c:pt>
                <c:pt idx="4">
                  <c:v>0.7897467538873995</c:v>
                </c:pt>
                <c:pt idx="5">
                  <c:v>0.791799558918919</c:v>
                </c:pt>
                <c:pt idx="6">
                  <c:v>0.7961968860215054</c:v>
                </c:pt>
                <c:pt idx="7">
                  <c:v>0.8104874128851541</c:v>
                </c:pt>
                <c:pt idx="8">
                  <c:v>0.8085611973969631</c:v>
                </c:pt>
                <c:pt idx="9">
                  <c:v>0.808511571963617</c:v>
                </c:pt>
                <c:pt idx="10">
                  <c:v>0.8144848922742111</c:v>
                </c:pt>
                <c:pt idx="11">
                  <c:v>0.8215197159763313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summary!$E$1</c:f>
              <c:strCache>
                <c:ptCount val="1"/>
                <c:pt idx="0">
                  <c:v>80 min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summary!$E$3:$E$14</c:f>
              <c:numCache>
                <c:ptCount val="12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150</c:v>
                </c:pt>
                <c:pt idx="7">
                  <c:v>200</c:v>
                </c:pt>
                <c:pt idx="8">
                  <c:v>250</c:v>
                </c:pt>
                <c:pt idx="9">
                  <c:v>300</c:v>
                </c:pt>
                <c:pt idx="10">
                  <c:v>350</c:v>
                </c:pt>
                <c:pt idx="11">
                  <c:v>400</c:v>
                </c:pt>
              </c:numCache>
            </c:numRef>
          </c:xVal>
          <c:yVal>
            <c:numRef>
              <c:f>summary!$F$3:$F$14</c:f>
              <c:numCache>
                <c:ptCount val="12"/>
                <c:pt idx="0">
                  <c:v>0.3417085427135678</c:v>
                </c:pt>
                <c:pt idx="1">
                  <c:v>0.5709908069458631</c:v>
                </c:pt>
                <c:pt idx="2">
                  <c:v>0.6903787103377687</c:v>
                </c:pt>
                <c:pt idx="3">
                  <c:v>0.7906626506024096</c:v>
                </c:pt>
                <c:pt idx="4">
                  <c:v>0.7909715407262021</c:v>
                </c:pt>
                <c:pt idx="5">
                  <c:v>0.8094742321707444</c:v>
                </c:pt>
                <c:pt idx="6">
                  <c:v>0.8046836073741903</c:v>
                </c:pt>
                <c:pt idx="7">
                  <c:v>0.8182283666154634</c:v>
                </c:pt>
                <c:pt idx="8">
                  <c:v>0.802088772845953</c:v>
                </c:pt>
                <c:pt idx="9">
                  <c:v>0.8024502297090352</c:v>
                </c:pt>
                <c:pt idx="10">
                  <c:v>0.7991313789359392</c:v>
                </c:pt>
                <c:pt idx="11">
                  <c:v>0.8122724908996359</c:v>
                </c:pt>
              </c:numCache>
            </c:numRef>
          </c:yVal>
          <c:smooth val="1"/>
        </c:ser>
        <c:axId val="30723099"/>
        <c:axId val="8072436"/>
      </c:scatterChart>
      <c:valAx>
        <c:axId val="30723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72436"/>
        <c:crosses val="autoZero"/>
        <c:crossBetween val="midCat"/>
        <c:dispUnits/>
      </c:valAx>
      <c:valAx>
        <c:axId val="8072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efficiency at 1fC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230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225"/>
          <c:y val="0.4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6225"/>
          <c:w val="0.895"/>
          <c:h val="0.79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'15min anneal'!$A$40</c:f>
              <c:strCache>
                <c:ptCount val="1"/>
                <c:pt idx="0">
                  <c:v>Vrev = 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'15min anneal'!$B$43:$B$49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'15min anneal'!$G$43:$G$49</c:f>
              <c:numCache>
                <c:ptCount val="7"/>
                <c:pt idx="0">
                  <c:v>0.7503393935397769</c:v>
                </c:pt>
                <c:pt idx="1">
                  <c:v>0.7059986128192565</c:v>
                </c:pt>
                <c:pt idx="2">
                  <c:v>0.606720406265773</c:v>
                </c:pt>
                <c:pt idx="3">
                  <c:v>0.4084037705152885</c:v>
                </c:pt>
                <c:pt idx="4">
                  <c:v>0.23356572677457543</c:v>
                </c:pt>
                <c:pt idx="5">
                  <c:v>0.1400482579468974</c:v>
                </c:pt>
                <c:pt idx="6">
                  <c:v>0.08276273595581239</c:v>
                </c:pt>
              </c:numCache>
            </c:numRef>
          </c:yVal>
          <c:smooth val="1"/>
        </c:ser>
        <c:axId val="60889305"/>
        <c:axId val="11132834"/>
      </c:scatterChart>
      <c:valAx>
        <c:axId val="60889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132834"/>
        <c:crosses val="autoZero"/>
        <c:crossBetween val="midCat"/>
        <c:dispUnits/>
      </c:valAx>
      <c:valAx>
        <c:axId val="11132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8893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615"/>
          <c:w val="0.89925"/>
          <c:h val="0.77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'15min anneal'!$A$53</c:f>
              <c:strCache>
                <c:ptCount val="1"/>
                <c:pt idx="0">
                  <c:v>Vrev = 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'15min anneal'!$B$56:$B$63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'15min anneal'!$G$56:$G$63</c:f>
              <c:numCache>
                <c:ptCount val="8"/>
                <c:pt idx="0">
                  <c:v>0.7955868147720958</c:v>
                </c:pt>
                <c:pt idx="1">
                  <c:v>0.7750894536407616</c:v>
                </c:pt>
                <c:pt idx="2">
                  <c:v>0.747001422811816</c:v>
                </c:pt>
                <c:pt idx="3">
                  <c:v>0.6303512519011131</c:v>
                </c:pt>
                <c:pt idx="4">
                  <c:v>0.4717496122437005</c:v>
                </c:pt>
                <c:pt idx="5">
                  <c:v>0.3125152527413755</c:v>
                </c:pt>
                <c:pt idx="6">
                  <c:v>0.20508179751878444</c:v>
                </c:pt>
                <c:pt idx="7">
                  <c:v>0.15105284940911898</c:v>
                </c:pt>
              </c:numCache>
            </c:numRef>
          </c:yVal>
          <c:smooth val="1"/>
        </c:ser>
        <c:axId val="33086643"/>
        <c:axId val="29344332"/>
      </c:scatterChart>
      <c:valAx>
        <c:axId val="33086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44332"/>
        <c:crosses val="autoZero"/>
        <c:crossBetween val="midCat"/>
        <c:dispUnits/>
      </c:valAx>
      <c:valAx>
        <c:axId val="29344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0866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6025"/>
          <c:w val="0.8965"/>
          <c:h val="0.7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'15min anneal'!$A$84</c:f>
              <c:strCache>
                <c:ptCount val="1"/>
                <c:pt idx="0">
                  <c:v>Vrev = 150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'15min anneal'!$B$87:$B$94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'15min anneal'!$G$87:$G$94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62772397"/>
        <c:axId val="28080662"/>
      </c:scatterChart>
      <c:valAx>
        <c:axId val="62772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80662"/>
        <c:crosses val="autoZero"/>
        <c:crossBetween val="midCat"/>
        <c:dispUnits/>
      </c:valAx>
      <c:valAx>
        <c:axId val="28080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7723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6"/>
          <c:w val="0.89175"/>
          <c:h val="0.80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'15min anneal'!$A$68</c:f>
              <c:strCache>
                <c:ptCount val="1"/>
                <c:pt idx="0">
                  <c:v>Vrev = 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'15min anneal'!$B$71:$B$79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'15min anneal'!$G$71:$G$79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51399367"/>
        <c:axId val="59941120"/>
      </c:scatterChart>
      <c:valAx>
        <c:axId val="51399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41120"/>
        <c:crosses val="autoZero"/>
        <c:crossBetween val="midCat"/>
        <c:dispUnits/>
      </c:valAx>
      <c:valAx>
        <c:axId val="59941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3993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66"/>
          <c:w val="0.89525"/>
          <c:h val="0.78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'15min anneal'!$A$98</c:f>
              <c:strCache>
                <c:ptCount val="1"/>
                <c:pt idx="0">
                  <c:v>Vrev = 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'15min anneal'!$B$101:$B$108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'15min anneal'!$G$101:$G$108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2599169"/>
        <c:axId val="23392522"/>
      </c:scatterChart>
      <c:valAx>
        <c:axId val="2599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392522"/>
        <c:crosses val="autoZero"/>
        <c:crossBetween val="midCat"/>
        <c:dispUnits/>
      </c:valAx>
      <c:valAx>
        <c:axId val="23392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991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61"/>
          <c:w val="0.88975"/>
          <c:h val="0.8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'15min anneal'!$A$113</c:f>
              <c:strCache>
                <c:ptCount val="1"/>
                <c:pt idx="0">
                  <c:v>Vrev = 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'15min anneal'!$B$116:$B$123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'15min anneal'!$G$116:$G$123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9206107"/>
        <c:axId val="15746100"/>
      </c:scatterChart>
      <c:valAx>
        <c:axId val="9206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46100"/>
        <c:crosses val="autoZero"/>
        <c:crossBetween val="midCat"/>
        <c:dispUnits/>
      </c:valAx>
      <c:valAx>
        <c:axId val="15746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2061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49"/>
          <c:w val="0.89475"/>
          <c:h val="0.80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'15min anneal'!$A$128</c:f>
              <c:strCache>
                <c:ptCount val="1"/>
                <c:pt idx="0">
                  <c:v>Vrev = 300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'15min anneal'!$B$134:$B$136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'15min anneal'!$G$134:$G$136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7497173"/>
        <c:axId val="365694"/>
      </c:scatterChart>
      <c:valAx>
        <c:axId val="7497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5694"/>
        <c:crosses val="autoZero"/>
        <c:crossBetween val="midCat"/>
        <c:dispUnits/>
      </c:valAx>
      <c:valAx>
        <c:axId val="365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4971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1585"/>
          <c:w val="0.89175"/>
          <c:h val="0.82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'15min anneal'!$A$157</c:f>
              <c:strCache>
                <c:ptCount val="1"/>
                <c:pt idx="0">
                  <c:v>Vrev = 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'15min anneal'!$B$163:$B$165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'15min anneal'!$G$163:$G$165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3291247"/>
        <c:axId val="29621224"/>
      </c:scatterChart>
      <c:valAx>
        <c:axId val="3291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21224"/>
        <c:crosses val="autoZero"/>
        <c:crossBetween val="midCat"/>
        <c:dispUnits/>
      </c:valAx>
      <c:valAx>
        <c:axId val="29621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912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605"/>
          <c:w val="0.8945"/>
          <c:h val="0.7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'15min anneal'!$A$143</c:f>
              <c:strCache>
                <c:ptCount val="1"/>
                <c:pt idx="0">
                  <c:v>Vrev = 350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'15min anneal'!$B$149:$B$150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'15min anneal'!$G$149:$G$150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65264425"/>
        <c:axId val="50508914"/>
      </c:scatterChart>
      <c:valAx>
        <c:axId val="65264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08914"/>
        <c:crosses val="autoZero"/>
        <c:crossBetween val="midCat"/>
        <c:dispUnits/>
      </c:valAx>
      <c:valAx>
        <c:axId val="50508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2644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46"/>
          <c:w val="0.895"/>
          <c:h val="0.79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'40min anneal'!$A$28</c:f>
              <c:strCache>
                <c:ptCount val="1"/>
                <c:pt idx="0">
                  <c:v>Vrev = 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'40min anneal'!$B$31:$B$35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'40min anneal'!$G$31:$G$35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51927043"/>
        <c:axId val="64690204"/>
      </c:scatterChart>
      <c:valAx>
        <c:axId val="51927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90204"/>
        <c:crosses val="autoZero"/>
        <c:crossBetween val="midCat"/>
        <c:dispUnits/>
      </c:valAx>
      <c:valAx>
        <c:axId val="64690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9270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34"/>
          <c:w val="0.899"/>
          <c:h val="0.93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summary2!$B$2</c:f>
              <c:strCache>
                <c:ptCount val="1"/>
                <c:pt idx="0">
                  <c:v>med 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summary2!$A$3:$A$8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summary2!$B$3:$B$8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summary2!$C$2</c:f>
              <c:strCache>
                <c:ptCount val="1"/>
                <c:pt idx="0">
                  <c:v>eff at 1fC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summary2!$A$3:$A$8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summary2!$C$3:$C$8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5543061"/>
        <c:axId val="49887550"/>
      </c:scatterChart>
      <c:valAx>
        <c:axId val="5543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anneal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87550"/>
        <c:crosses val="autoZero"/>
        <c:crossBetween val="midCat"/>
        <c:dispUnits/>
      </c:valAx>
      <c:valAx>
        <c:axId val="49887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med Q or eff at 1fC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430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675"/>
          <c:y val="0.24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1515"/>
          <c:w val="0.878"/>
          <c:h val="0.81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'40min anneal'!$A$7</c:f>
              <c:strCache>
                <c:ptCount val="1"/>
                <c:pt idx="0">
                  <c:v>Vrev = 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'40min anneal'!$B$10:$B$12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'40min anneal'!$G$10:$G$12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45340925"/>
        <c:axId val="5415142"/>
      </c:scatterChart>
      <c:valAx>
        <c:axId val="45340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5142"/>
        <c:crosses val="autoZero"/>
        <c:crossBetween val="midCat"/>
        <c:dispUnits/>
      </c:valAx>
      <c:valAx>
        <c:axId val="5415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409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41"/>
          <c:w val="0.889"/>
          <c:h val="0.80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'40min anneal'!$A$40</c:f>
              <c:strCache>
                <c:ptCount val="1"/>
                <c:pt idx="0">
                  <c:v>Vrev = 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'40min anneal'!$B$43:$B$49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'40min anneal'!$G$43:$G$49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48736279"/>
        <c:axId val="35973328"/>
      </c:scatterChart>
      <c:valAx>
        <c:axId val="48736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973328"/>
        <c:crosses val="autoZero"/>
        <c:crossBetween val="midCat"/>
        <c:dispUnits/>
      </c:valAx>
      <c:valAx>
        <c:axId val="35973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362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5"/>
          <c:y val="0.05575"/>
          <c:w val="0.8745"/>
          <c:h val="0.89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'40min anneal'!$A$17</c:f>
              <c:strCache>
                <c:ptCount val="1"/>
                <c:pt idx="0">
                  <c:v>Vrev = 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'40min anneal'!$B$20:$B$23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'40min anneal'!$G$20:$G$23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55324497"/>
        <c:axId val="28158426"/>
      </c:scatterChart>
      <c:valAx>
        <c:axId val="55324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58426"/>
        <c:crosses val="autoZero"/>
        <c:crossBetween val="midCat"/>
        <c:dispUnits/>
      </c:valAx>
      <c:valAx>
        <c:axId val="28158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3244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655"/>
          <c:w val="0.899"/>
          <c:h val="0.7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'40min anneal'!$A$98</c:f>
              <c:strCache>
                <c:ptCount val="1"/>
                <c:pt idx="0">
                  <c:v>Vrev = 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'40min anneal'!$B$101:$B$110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'40min anneal'!$G$101:$G$110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52099243"/>
        <c:axId val="66240004"/>
      </c:scatterChart>
      <c:valAx>
        <c:axId val="52099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240004"/>
        <c:crosses val="autoZero"/>
        <c:crossBetween val="midCat"/>
        <c:dispUnits/>
      </c:valAx>
      <c:valAx>
        <c:axId val="66240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0992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5725"/>
          <c:w val="0.89625"/>
          <c:h val="0.7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'40min anneal'!$A$84</c:f>
              <c:strCache>
                <c:ptCount val="1"/>
                <c:pt idx="0">
                  <c:v>Vrev = 150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'40min anneal'!$B$87:$B$94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'40min anneal'!$G$87:$G$94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59289125"/>
        <c:axId val="63840078"/>
      </c:scatterChart>
      <c:valAx>
        <c:axId val="59289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40078"/>
        <c:crosses val="autoZero"/>
        <c:crossBetween val="midCat"/>
        <c:dispUnits/>
      </c:valAx>
      <c:valAx>
        <c:axId val="63840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891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645"/>
          <c:w val="0.89775"/>
          <c:h val="0.79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'40min anneal'!$A$68</c:f>
              <c:strCache>
                <c:ptCount val="1"/>
                <c:pt idx="0">
                  <c:v>Vrev = 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'40min anneal'!$B$71:$B$79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'40min anneal'!$G$71:$G$79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37689791"/>
        <c:axId val="3663800"/>
      </c:scatterChart>
      <c:valAx>
        <c:axId val="37689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3800"/>
        <c:crosses val="autoZero"/>
        <c:crossBetween val="midCat"/>
        <c:dispUnits/>
      </c:valAx>
      <c:valAx>
        <c:axId val="3663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897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37"/>
          <c:w val="0.895"/>
          <c:h val="0.81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'40min anneal'!$A$53</c:f>
              <c:strCache>
                <c:ptCount val="1"/>
                <c:pt idx="0">
                  <c:v>Vrev = 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'40min anneal'!$B$56:$B$63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'40min anneal'!$G$56:$G$63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32974201"/>
        <c:axId val="28332354"/>
      </c:scatterChart>
      <c:valAx>
        <c:axId val="32974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32354"/>
        <c:crosses val="autoZero"/>
        <c:crossBetween val="midCat"/>
        <c:dispUnits/>
      </c:valAx>
      <c:valAx>
        <c:axId val="28332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9742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78"/>
          <c:w val="0.953"/>
          <c:h val="0.78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'40min anneal'!$M$1</c:f>
              <c:strCache>
                <c:ptCount val="1"/>
                <c:pt idx="0">
                  <c:v>eff at 1fC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'40min anneal'!$L$2:$L$13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'40min anneal'!$M$2:$M$13</c:f>
              <c:numCache>
                <c:ptCount val="12"/>
                <c:pt idx="0">
                  <c:v>0.3292573090909091</c:v>
                </c:pt>
                <c:pt idx="1">
                  <c:v>0.5819082533748702</c:v>
                </c:pt>
                <c:pt idx="2">
                  <c:v>0.7079907829787234</c:v>
                </c:pt>
                <c:pt idx="3">
                  <c:v>0.7745705387131953</c:v>
                </c:pt>
                <c:pt idx="4">
                  <c:v>0.7897467538873995</c:v>
                </c:pt>
                <c:pt idx="5">
                  <c:v>0.791799558918919</c:v>
                </c:pt>
                <c:pt idx="6">
                  <c:v>0.7961968860215054</c:v>
                </c:pt>
                <c:pt idx="7">
                  <c:v>0.8104874128851541</c:v>
                </c:pt>
                <c:pt idx="8">
                  <c:v>0.8085611973969631</c:v>
                </c:pt>
                <c:pt idx="9">
                  <c:v>0.808511571963617</c:v>
                </c:pt>
                <c:pt idx="10">
                  <c:v>0.8144848922742111</c:v>
                </c:pt>
                <c:pt idx="11">
                  <c:v>0.8215197159763313</c:v>
                </c:pt>
              </c:numCache>
            </c:numRef>
          </c:yVal>
          <c:smooth val="1"/>
        </c:ser>
        <c:axId val="53664595"/>
        <c:axId val="13219308"/>
      </c:scatterChart>
      <c:valAx>
        <c:axId val="53664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19308"/>
        <c:crosses val="autoZero"/>
        <c:crossBetween val="midCat"/>
        <c:dispUnits/>
      </c:valAx>
      <c:valAx>
        <c:axId val="132193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645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875"/>
          <c:y val="0.02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3625"/>
          <c:w val="0.898"/>
          <c:h val="0.79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'40min anneal'!$A$145</c:f>
              <c:strCache>
                <c:ptCount val="1"/>
                <c:pt idx="0">
                  <c:v>Vrev = 350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'40min anneal'!$B$151:$B$153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'40min anneal'!$G$151:$G$153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51864909"/>
        <c:axId val="64130998"/>
      </c:scatterChart>
      <c:valAx>
        <c:axId val="51864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30998"/>
        <c:crosses val="autoZero"/>
        <c:crossBetween val="midCat"/>
        <c:dispUnits/>
      </c:valAx>
      <c:valAx>
        <c:axId val="64130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8649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2"/>
          <c:w val="0.89625"/>
          <c:h val="0.80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'40min anneal'!$A$115</c:f>
              <c:strCache>
                <c:ptCount val="1"/>
                <c:pt idx="0">
                  <c:v>Vrev = 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'40min anneal'!$B$118:$B$125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'40min anneal'!$G$118:$G$125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40308071"/>
        <c:axId val="27228320"/>
      </c:scatterChart>
      <c:valAx>
        <c:axId val="40308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228320"/>
        <c:crosses val="autoZero"/>
        <c:crossBetween val="midCat"/>
        <c:dispUnits/>
      </c:valAx>
      <c:valAx>
        <c:axId val="27228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080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"/>
          <c:y val="0.02075"/>
          <c:w val="0.88275"/>
          <c:h val="0.8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summary!$A$1</c:f>
              <c:strCache>
                <c:ptCount val="1"/>
                <c:pt idx="0">
                  <c:v>pre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summary!$A$4:$A$14</c:f>
              <c:numCache>
                <c:ptCount val="11"/>
                <c:pt idx="0">
                  <c:v>30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150</c:v>
                </c:pt>
                <c:pt idx="6">
                  <c:v>200</c:v>
                </c:pt>
                <c:pt idx="7">
                  <c:v>250</c:v>
                </c:pt>
                <c:pt idx="8">
                  <c:v>300</c:v>
                </c:pt>
                <c:pt idx="9">
                  <c:v>350</c:v>
                </c:pt>
                <c:pt idx="10">
                  <c:v>400</c:v>
                </c:pt>
              </c:numCache>
            </c:numRef>
          </c:xVal>
          <c:yVal>
            <c:numRef>
              <c:f>summary!$C$4:$C$14</c:f>
              <c:numCache>
                <c:ptCount val="11"/>
                <c:pt idx="0">
                  <c:v>1.06</c:v>
                </c:pt>
                <c:pt idx="1">
                  <c:v>1.28</c:v>
                </c:pt>
                <c:pt idx="2">
                  <c:v>1.66</c:v>
                </c:pt>
                <c:pt idx="3">
                  <c:v>1.86</c:v>
                </c:pt>
                <c:pt idx="4">
                  <c:v>2.03</c:v>
                </c:pt>
                <c:pt idx="5">
                  <c:v>2.24</c:v>
                </c:pt>
                <c:pt idx="6">
                  <c:v>2.37</c:v>
                </c:pt>
                <c:pt idx="7">
                  <c:v>2.46</c:v>
                </c:pt>
                <c:pt idx="8">
                  <c:v>2.55</c:v>
                </c:pt>
                <c:pt idx="9">
                  <c:v>2.61</c:v>
                </c:pt>
                <c:pt idx="10">
                  <c:v>2.67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summary!$A$16</c:f>
              <c:strCache>
                <c:ptCount val="1"/>
                <c:pt idx="0">
                  <c:v>5 min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summary!$A$19:$A$29</c:f>
              <c:numCache>
                <c:ptCount val="11"/>
                <c:pt idx="0">
                  <c:v>30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150</c:v>
                </c:pt>
                <c:pt idx="6">
                  <c:v>200</c:v>
                </c:pt>
                <c:pt idx="7">
                  <c:v>250</c:v>
                </c:pt>
                <c:pt idx="8">
                  <c:v>300</c:v>
                </c:pt>
                <c:pt idx="9">
                  <c:v>350</c:v>
                </c:pt>
                <c:pt idx="10">
                  <c:v>400</c:v>
                </c:pt>
              </c:numCache>
            </c:numRef>
          </c:xVal>
          <c:yVal>
            <c:numRef>
              <c:f>summary!$C$19:$C$29</c:f>
              <c:numCache>
                <c:ptCount val="11"/>
                <c:pt idx="0">
                  <c:v>1.08</c:v>
                </c:pt>
                <c:pt idx="1">
                  <c:v>1.33</c:v>
                </c:pt>
                <c:pt idx="2">
                  <c:v>1.67</c:v>
                </c:pt>
                <c:pt idx="3">
                  <c:v>1.9100000000000001</c:v>
                </c:pt>
                <c:pt idx="4">
                  <c:v>2.039999999999999</c:v>
                </c:pt>
                <c:pt idx="5">
                  <c:v>2.2699999999999987</c:v>
                </c:pt>
                <c:pt idx="6">
                  <c:v>2.4</c:v>
                </c:pt>
                <c:pt idx="7">
                  <c:v>2.4899999999999993</c:v>
                </c:pt>
                <c:pt idx="8">
                  <c:v>2.5199999999999996</c:v>
                </c:pt>
                <c:pt idx="9">
                  <c:v>2.5699999999999985</c:v>
                </c:pt>
                <c:pt idx="10">
                  <c:v>2.6399999999999992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summary!$A$31</c:f>
              <c:strCache>
                <c:ptCount val="1"/>
                <c:pt idx="0">
                  <c:v>15 min anneal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summary!$A$34:$A$44</c:f>
              <c:numCache>
                <c:ptCount val="11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80</c:v>
                </c:pt>
                <c:pt idx="4">
                  <c:v>100</c:v>
                </c:pt>
                <c:pt idx="5">
                  <c:v>150</c:v>
                </c:pt>
                <c:pt idx="6">
                  <c:v>200</c:v>
                </c:pt>
                <c:pt idx="7">
                  <c:v>250</c:v>
                </c:pt>
                <c:pt idx="8">
                  <c:v>300</c:v>
                </c:pt>
                <c:pt idx="9">
                  <c:v>350</c:v>
                </c:pt>
                <c:pt idx="10">
                  <c:v>400</c:v>
                </c:pt>
              </c:numCache>
            </c:numRef>
          </c:xVal>
          <c:yVal>
            <c:numRef>
              <c:f>summary!$C$34:$C$44</c:f>
              <c:numCache>
                <c:ptCount val="11"/>
                <c:pt idx="0">
                  <c:v>1.12</c:v>
                </c:pt>
                <c:pt idx="1">
                  <c:v>1.33</c:v>
                </c:pt>
                <c:pt idx="2">
                  <c:v>1.52</c:v>
                </c:pt>
                <c:pt idx="3">
                  <c:v>1.92</c:v>
                </c:pt>
                <c:pt idx="4">
                  <c:v>2.049999999999999</c:v>
                </c:pt>
                <c:pt idx="5">
                  <c:v>2.299999999999999</c:v>
                </c:pt>
                <c:pt idx="6">
                  <c:v>2.439999999999999</c:v>
                </c:pt>
                <c:pt idx="7">
                  <c:v>2.5699999999999985</c:v>
                </c:pt>
                <c:pt idx="8">
                  <c:v>2.589999999999999</c:v>
                </c:pt>
                <c:pt idx="9">
                  <c:v>2.749999999999999</c:v>
                </c:pt>
                <c:pt idx="10">
                  <c:v>2.759999999999999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summary!$A$47</c:f>
              <c:strCache>
                <c:ptCount val="1"/>
                <c:pt idx="0">
                  <c:v>40 min anneal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summary!$A$50:$A$60</c:f>
              <c:numCache>
                <c:ptCount val="11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80</c:v>
                </c:pt>
                <c:pt idx="4">
                  <c:v>100</c:v>
                </c:pt>
                <c:pt idx="5">
                  <c:v>150</c:v>
                </c:pt>
                <c:pt idx="6">
                  <c:v>200</c:v>
                </c:pt>
                <c:pt idx="7">
                  <c:v>250</c:v>
                </c:pt>
                <c:pt idx="8">
                  <c:v>300</c:v>
                </c:pt>
                <c:pt idx="9">
                  <c:v>350</c:v>
                </c:pt>
                <c:pt idx="10">
                  <c:v>400</c:v>
                </c:pt>
              </c:numCache>
            </c:numRef>
          </c:xVal>
          <c:yVal>
            <c:numRef>
              <c:f>summary!$C$50:$C$60</c:f>
              <c:numCache>
                <c:ptCount val="11"/>
                <c:pt idx="0">
                  <c:v>1.08</c:v>
                </c:pt>
                <c:pt idx="1">
                  <c:v>1.31</c:v>
                </c:pt>
                <c:pt idx="2">
                  <c:v>1.68</c:v>
                </c:pt>
                <c:pt idx="3">
                  <c:v>1.91</c:v>
                </c:pt>
                <c:pt idx="4">
                  <c:v>2.079999999999999</c:v>
                </c:pt>
                <c:pt idx="5">
                  <c:v>2.289999999999999</c:v>
                </c:pt>
                <c:pt idx="6">
                  <c:v>2.4099999999999997</c:v>
                </c:pt>
                <c:pt idx="7">
                  <c:v>2.5299999999999994</c:v>
                </c:pt>
                <c:pt idx="8">
                  <c:v>2.6099999999999994</c:v>
                </c:pt>
                <c:pt idx="9">
                  <c:v>2.6699999999999986</c:v>
                </c:pt>
                <c:pt idx="10">
                  <c:v>2.7299999999999995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summary!$E$1</c:f>
              <c:strCache>
                <c:ptCount val="1"/>
                <c:pt idx="0">
                  <c:v>80 min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summary!$E$4:$E$14</c:f>
              <c:numCache>
                <c:ptCount val="11"/>
                <c:pt idx="0">
                  <c:v>30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150</c:v>
                </c:pt>
                <c:pt idx="6">
                  <c:v>200</c:v>
                </c:pt>
                <c:pt idx="7">
                  <c:v>250</c:v>
                </c:pt>
                <c:pt idx="8">
                  <c:v>300</c:v>
                </c:pt>
                <c:pt idx="9">
                  <c:v>350</c:v>
                </c:pt>
                <c:pt idx="10">
                  <c:v>400</c:v>
                </c:pt>
              </c:numCache>
            </c:numRef>
          </c:xVal>
          <c:yVal>
            <c:numRef>
              <c:f>summary!$G$4:$G$14</c:f>
              <c:numCache>
                <c:ptCount val="11"/>
                <c:pt idx="0">
                  <c:v>1.07</c:v>
                </c:pt>
                <c:pt idx="1">
                  <c:v>1.32</c:v>
                </c:pt>
                <c:pt idx="2">
                  <c:v>1.6500000000000001</c:v>
                </c:pt>
                <c:pt idx="3">
                  <c:v>1.8800000000000001</c:v>
                </c:pt>
                <c:pt idx="4">
                  <c:v>2.01</c:v>
                </c:pt>
                <c:pt idx="5">
                  <c:v>2.199999999999999</c:v>
                </c:pt>
                <c:pt idx="6">
                  <c:v>2.3899999999999992</c:v>
                </c:pt>
                <c:pt idx="7">
                  <c:v>2.46</c:v>
                </c:pt>
                <c:pt idx="8">
                  <c:v>2.5599999999999996</c:v>
                </c:pt>
                <c:pt idx="9">
                  <c:v>2.5299999999999994</c:v>
                </c:pt>
                <c:pt idx="10">
                  <c:v>2.6399999999999992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summary!$E$16</c:f>
              <c:strCache>
                <c:ptCount val="1"/>
                <c:pt idx="0">
                  <c:v>200 min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summary!$E$19:$E$29</c:f>
              <c:numCache>
                <c:ptCount val="11"/>
                <c:pt idx="0">
                  <c:v>30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150</c:v>
                </c:pt>
                <c:pt idx="6">
                  <c:v>200</c:v>
                </c:pt>
                <c:pt idx="7">
                  <c:v>250</c:v>
                </c:pt>
                <c:pt idx="8">
                  <c:v>300</c:v>
                </c:pt>
                <c:pt idx="9">
                  <c:v>350</c:v>
                </c:pt>
                <c:pt idx="10">
                  <c:v>400</c:v>
                </c:pt>
              </c:numCache>
            </c:numRef>
          </c:xVal>
          <c:yVal>
            <c:numRef>
              <c:f>summary!$G$19:$G$29</c:f>
              <c:numCache>
                <c:ptCount val="11"/>
                <c:pt idx="0">
                  <c:v>1.16</c:v>
                </c:pt>
                <c:pt idx="1">
                  <c:v>1.37</c:v>
                </c:pt>
                <c:pt idx="2">
                  <c:v>1.66</c:v>
                </c:pt>
                <c:pt idx="3">
                  <c:v>1.83</c:v>
                </c:pt>
                <c:pt idx="4">
                  <c:v>2.0199999999999996</c:v>
                </c:pt>
                <c:pt idx="5">
                  <c:v>2.2299999999999995</c:v>
                </c:pt>
                <c:pt idx="6">
                  <c:v>2.4299999999999993</c:v>
                </c:pt>
                <c:pt idx="7">
                  <c:v>2.5199999999999996</c:v>
                </c:pt>
                <c:pt idx="8">
                  <c:v>2.5599999999999987</c:v>
                </c:pt>
                <c:pt idx="9">
                  <c:v>2.6699999999999986</c:v>
                </c:pt>
                <c:pt idx="10">
                  <c:v>2.659999999999999</c:v>
                </c:pt>
              </c:numCache>
            </c:numRef>
          </c:yVal>
          <c:smooth val="1"/>
        </c:ser>
        <c:axId val="46334767"/>
        <c:axId val="14359720"/>
      </c:scatterChart>
      <c:valAx>
        <c:axId val="46334767"/>
        <c:scaling>
          <c:orientation val="minMax"/>
          <c:max val="240"/>
          <c:min val="2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359720"/>
        <c:crosses val="autoZero"/>
        <c:crossBetween val="midCat"/>
        <c:dispUnits/>
        <c:majorUnit val="5"/>
        <c:minorUnit val="2"/>
      </c:valAx>
      <c:valAx>
        <c:axId val="14359720"/>
        <c:scaling>
          <c:orientation val="minMax"/>
          <c:max val="2.51"/>
          <c:min val="2.4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med 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34767"/>
        <c:crosses val="autoZero"/>
        <c:crossBetween val="midCat"/>
        <c:dispUnits/>
        <c:majorUnit val="0.0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5"/>
          <c:y val="0.57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515"/>
          <c:w val="0.89375"/>
          <c:h val="0.79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'40min anneal'!$A$130</c:f>
              <c:strCache>
                <c:ptCount val="1"/>
                <c:pt idx="0">
                  <c:v>Vrev = 300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'40min anneal'!$B$136:$B$138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'40min anneal'!$G$136:$G$138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43728289"/>
        <c:axId val="58010282"/>
      </c:scatterChart>
      <c:valAx>
        <c:axId val="43728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10282"/>
        <c:crosses val="autoZero"/>
        <c:crossBetween val="midCat"/>
        <c:dispUnits/>
      </c:valAx>
      <c:valAx>
        <c:axId val="58010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7282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1805"/>
          <c:w val="0.87875"/>
          <c:h val="0.75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'40min anneal'!$A$159</c:f>
              <c:strCache>
                <c:ptCount val="1"/>
                <c:pt idx="0">
                  <c:v>Vrev = 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'40min anneal'!$B$165:$B$167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'40min anneal'!$G$165:$G$167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52330491"/>
        <c:axId val="1212372"/>
      </c:scatterChart>
      <c:valAx>
        <c:axId val="52330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12372"/>
        <c:crosses val="autoZero"/>
        <c:crossBetween val="midCat"/>
        <c:dispUnits/>
      </c:valAx>
      <c:valAx>
        <c:axId val="1212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304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84"/>
          <c:w val="0.88025"/>
          <c:h val="0.76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'80min anneal'!$A$17</c:f>
              <c:strCache>
                <c:ptCount val="1"/>
                <c:pt idx="0">
                  <c:v>Vrev = 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'80min anneal'!$B$20:$B$23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'80min anneal'!$G$20:$G$23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10911349"/>
        <c:axId val="31093278"/>
      </c:scatterChart>
      <c:valAx>
        <c:axId val="10911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93278"/>
        <c:crosses val="autoZero"/>
        <c:crossBetween val="midCat"/>
        <c:dispUnits/>
      </c:valAx>
      <c:valAx>
        <c:axId val="31093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113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'80min anneal'!$A$98</c:f>
              <c:strCache>
                <c:ptCount val="1"/>
                <c:pt idx="0">
                  <c:v>Vrev = 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'80min anneal'!$B$101:$B$109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'80min anneal'!$G$101:$G$109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11404047"/>
        <c:axId val="35527560"/>
      </c:scatterChart>
      <c:valAx>
        <c:axId val="11404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27560"/>
        <c:crosses val="autoZero"/>
        <c:crossBetween val="midCat"/>
        <c:dispUnits/>
      </c:valAx>
      <c:valAx>
        <c:axId val="35527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040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57"/>
          <c:w val="0.89525"/>
          <c:h val="0.8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'80min anneal'!$A$84</c:f>
              <c:strCache>
                <c:ptCount val="1"/>
                <c:pt idx="0">
                  <c:v>Vrev = 150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'80min anneal'!$B$87:$B$94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'80min anneal'!$G$87:$G$94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51312585"/>
        <c:axId val="59160082"/>
      </c:scatterChart>
      <c:valAx>
        <c:axId val="51312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60082"/>
        <c:crosses val="autoZero"/>
        <c:crossBetween val="midCat"/>
        <c:dispUnits/>
      </c:valAx>
      <c:valAx>
        <c:axId val="59160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3125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03"/>
          <c:w val="0.8945"/>
          <c:h val="0.83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'80min anneal'!$M$1</c:f>
              <c:strCache>
                <c:ptCount val="1"/>
                <c:pt idx="0">
                  <c:v>eff at 1fC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'80min anneal'!$L$2:$L$13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'80min anneal'!$M$2:$M$13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axId val="62678691"/>
        <c:axId val="27237308"/>
      </c:scatterChart>
      <c:valAx>
        <c:axId val="62678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237308"/>
        <c:crosses val="autoZero"/>
        <c:crossBetween val="midCat"/>
        <c:dispUnits/>
      </c:valAx>
      <c:valAx>
        <c:axId val="27237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eff at 1 fC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6786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6275"/>
          <c:w val="0.90175"/>
          <c:h val="0.78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'80min anneal'!$A$114</c:f>
              <c:strCache>
                <c:ptCount val="1"/>
                <c:pt idx="0">
                  <c:v>Vrev = 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'80min anneal'!$B$117:$B$124</c:f>
              <c:numCache>
                <c:ptCount val="8"/>
                <c:pt idx="0">
                  <c:v>0.9929964465746631</c:v>
                </c:pt>
                <c:pt idx="1">
                  <c:v>1.6644285596231714</c:v>
                </c:pt>
                <c:pt idx="2">
                  <c:v>1.9743203041070985</c:v>
                </c:pt>
                <c:pt idx="3">
                  <c:v>2.284212048591025</c:v>
                </c:pt>
                <c:pt idx="4">
                  <c:v>2.5941037930749524</c:v>
                </c:pt>
                <c:pt idx="5">
                  <c:v>2.9039955375588793</c:v>
                </c:pt>
                <c:pt idx="6">
                  <c:v>3.213887282042806</c:v>
                </c:pt>
                <c:pt idx="7">
                  <c:v>3.523779026526733</c:v>
                </c:pt>
              </c:numCache>
            </c:numRef>
          </c:xVal>
          <c:yVal>
            <c:numRef>
              <c:f>'80min anneal'!$G$117:$G$124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43809181"/>
        <c:axId val="58738310"/>
      </c:scatterChart>
      <c:valAx>
        <c:axId val="43809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38310"/>
        <c:crosses val="autoZero"/>
        <c:crossBetween val="midCat"/>
        <c:dispUnits/>
      </c:valAx>
      <c:valAx>
        <c:axId val="58738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091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25"/>
          <c:w val="0.8955"/>
          <c:h val="0.78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'80min anneal'!$A$68</c:f>
              <c:strCache>
                <c:ptCount val="1"/>
                <c:pt idx="0">
                  <c:v>Vrev = 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'80min anneal'!$B$71:$B$79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'80min anneal'!$G$71:$G$79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58882743"/>
        <c:axId val="60182640"/>
      </c:scatterChart>
      <c:valAx>
        <c:axId val="58882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82640"/>
        <c:crosses val="autoZero"/>
        <c:crossBetween val="midCat"/>
        <c:dispUnits/>
      </c:valAx>
      <c:valAx>
        <c:axId val="60182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8827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1125"/>
          <c:w val="0.89975"/>
          <c:h val="0.8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'80min anneal'!$A$40</c:f>
              <c:strCache>
                <c:ptCount val="1"/>
                <c:pt idx="0">
                  <c:v>Vrev = 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'80min anneal'!$B$43:$B$49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'80min anneal'!$G$43:$G$49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4772849"/>
        <c:axId val="42955642"/>
      </c:scatterChart>
      <c:valAx>
        <c:axId val="4772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55642"/>
        <c:crosses val="autoZero"/>
        <c:crossBetween val="midCat"/>
        <c:dispUnits/>
      </c:valAx>
      <c:valAx>
        <c:axId val="42955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728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1"/>
          <c:w val="0.89625"/>
          <c:h val="0.80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'80min anneal'!$A$53</c:f>
              <c:strCache>
                <c:ptCount val="1"/>
                <c:pt idx="0">
                  <c:v>Vrev = 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'80min anneal'!$B$56:$B$63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'80min anneal'!$G$56:$G$63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51056459"/>
        <c:axId val="56854948"/>
      </c:scatterChart>
      <c:valAx>
        <c:axId val="51056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54948"/>
        <c:crosses val="autoZero"/>
        <c:crossBetween val="midCat"/>
        <c:dispUnits/>
      </c:valAx>
      <c:valAx>
        <c:axId val="56854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564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6425"/>
          <c:w val="0.906"/>
          <c:h val="0.77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'pre-anneal'!$A$25</c:f>
              <c:strCache>
                <c:ptCount val="1"/>
                <c:pt idx="0">
                  <c:v>Vrev = 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'pre-anneal'!$B$28:$B$33</c:f>
              <c:numCache>
                <c:ptCount val="6"/>
                <c:pt idx="0">
                  <c:v>0.9413478224940086</c:v>
                </c:pt>
                <c:pt idx="1">
                  <c:v>1.0446450706553176</c:v>
                </c:pt>
                <c:pt idx="2">
                  <c:v>1.1479423188166267</c:v>
                </c:pt>
                <c:pt idx="3">
                  <c:v>1.3545368151392445</c:v>
                </c:pt>
                <c:pt idx="4">
                  <c:v>1.6644285596231714</c:v>
                </c:pt>
                <c:pt idx="5">
                  <c:v>1.9743203041070985</c:v>
                </c:pt>
              </c:numCache>
            </c:numRef>
          </c:xVal>
          <c:yVal>
            <c:numRef>
              <c:f>'pre-anneal'!$G$28:$G$33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62128617"/>
        <c:axId val="22286642"/>
      </c:scatterChart>
      <c:valAx>
        <c:axId val="62128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286642"/>
        <c:crosses val="autoZero"/>
        <c:crossBetween val="midCat"/>
        <c:dispUnits/>
      </c:valAx>
      <c:valAx>
        <c:axId val="22286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1286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74"/>
          <c:w val="0.8935"/>
          <c:h val="0.77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'80min anneal'!$A$28</c:f>
              <c:strCache>
                <c:ptCount val="1"/>
                <c:pt idx="0">
                  <c:v>Vrev = 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'80min anneal'!$B$31:$B$35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'80min anneal'!$G$31:$G$35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41932485"/>
        <c:axId val="41848046"/>
      </c:scatterChart>
      <c:valAx>
        <c:axId val="41932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848046"/>
        <c:crosses val="autoZero"/>
        <c:crossBetween val="midCat"/>
        <c:dispUnits/>
      </c:valAx>
      <c:valAx>
        <c:axId val="41848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324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5825"/>
          <c:w val="0.897"/>
          <c:h val="0.78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'80min anneal'!$A$129</c:f>
              <c:strCache>
                <c:ptCount val="1"/>
                <c:pt idx="0">
                  <c:v>Vrev = 300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'80min anneal'!$B$135:$B$137</c:f>
              <c:numCache>
                <c:ptCount val="3"/>
                <c:pt idx="0">
                  <c:v>2.284212048591025</c:v>
                </c:pt>
                <c:pt idx="1">
                  <c:v>2.5941037930749524</c:v>
                </c:pt>
                <c:pt idx="2">
                  <c:v>2.9039955375588793</c:v>
                </c:pt>
              </c:numCache>
            </c:numRef>
          </c:xVal>
          <c:yVal>
            <c:numRef>
              <c:f>'80min anneal'!$G$135:$G$137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41088095"/>
        <c:axId val="34248536"/>
      </c:scatterChart>
      <c:valAx>
        <c:axId val="41088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48536"/>
        <c:crosses val="autoZero"/>
        <c:crossBetween val="midCat"/>
        <c:dispUnits/>
      </c:valAx>
      <c:valAx>
        <c:axId val="34248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880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6325"/>
          <c:w val="0.89425"/>
          <c:h val="0.80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'80min anneal'!$A$144</c:f>
              <c:strCache>
                <c:ptCount val="1"/>
                <c:pt idx="0">
                  <c:v>Vrev = 350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'80min anneal'!$B$150:$B$152</c:f>
              <c:numCache>
                <c:ptCount val="3"/>
                <c:pt idx="0">
                  <c:v>2.284212048591025</c:v>
                </c:pt>
                <c:pt idx="1">
                  <c:v>2.5941037930749524</c:v>
                </c:pt>
                <c:pt idx="2">
                  <c:v>2.9039955375588793</c:v>
                </c:pt>
              </c:numCache>
            </c:numRef>
          </c:xVal>
          <c:yVal>
            <c:numRef>
              <c:f>'80min anneal'!$G$150:$G$152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39801369"/>
        <c:axId val="22668002"/>
      </c:scatterChart>
      <c:valAx>
        <c:axId val="39801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668002"/>
        <c:crosses val="autoZero"/>
        <c:crossBetween val="midCat"/>
        <c:dispUnits/>
      </c:valAx>
      <c:valAx>
        <c:axId val="22668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8013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2"/>
          <c:w val="0.89775"/>
          <c:h val="0.82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'80min anneal'!$A$158</c:f>
              <c:strCache>
                <c:ptCount val="1"/>
                <c:pt idx="0">
                  <c:v>Vrev = 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'80min anneal'!$B$164:$B$166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'80min anneal'!$G$164:$G$166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2685427"/>
        <c:axId val="24168844"/>
      </c:scatterChart>
      <c:valAx>
        <c:axId val="2685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68844"/>
        <c:crosses val="autoZero"/>
        <c:crossBetween val="midCat"/>
        <c:dispUnits/>
      </c:valAx>
      <c:valAx>
        <c:axId val="24168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54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Current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615"/>
          <c:w val="0.89525"/>
          <c:h val="0.78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'80min anneal'!$O$1</c:f>
              <c:strCache>
                <c:ptCount val="1"/>
                <c:pt idx="0">
                  <c:v>I (uA)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'80min anneal'!$L$2:$L$13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'80min anneal'!$O$2:$O$13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axId val="16193005"/>
        <c:axId val="11519318"/>
      </c:scatterChart>
      <c:valAx>
        <c:axId val="16193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519318"/>
        <c:crosses val="autoZero"/>
        <c:crossBetween val="midCat"/>
        <c:dispUnits/>
      </c:valAx>
      <c:valAx>
        <c:axId val="11519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current (uA)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1930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'200min anneal'!$M$1</c:f>
              <c:strCache>
                <c:ptCount val="1"/>
                <c:pt idx="0">
                  <c:v>eff at 1fC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'200min anneal'!$L$2:$L$13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'200min anneal'!$M$2:$M$13</c:f>
              <c:numCache>
                <c:ptCount val="12"/>
                <c:pt idx="0">
                  <c:v>0.35120299548872175</c:v>
                </c:pt>
                <c:pt idx="1">
                  <c:v>0.6118646398199099</c:v>
                </c:pt>
                <c:pt idx="2">
                  <c:v>0.7416608546168958</c:v>
                </c:pt>
                <c:pt idx="3">
                  <c:v>0.7729161432806323</c:v>
                </c:pt>
                <c:pt idx="4">
                  <c:v>0.8230948428211586</c:v>
                </c:pt>
                <c:pt idx="5">
                  <c:v>0.81180744345679</c:v>
                </c:pt>
                <c:pt idx="6">
                  <c:v>0.8090657987012987</c:v>
                </c:pt>
                <c:pt idx="7">
                  <c:v>0.8265601950965049</c:v>
                </c:pt>
                <c:pt idx="8">
                  <c:v>0.812574284800787</c:v>
                </c:pt>
                <c:pt idx="9">
                  <c:v>0.8016822920667003</c:v>
                </c:pt>
                <c:pt idx="10">
                  <c:v>0.8095753600764087</c:v>
                </c:pt>
                <c:pt idx="11">
                  <c:v>0.8012033908227847</c:v>
                </c:pt>
              </c:numCache>
            </c:numRef>
          </c:yVal>
          <c:smooth val="1"/>
        </c:ser>
        <c:axId val="36564999"/>
        <c:axId val="60649536"/>
      </c:scatterChart>
      <c:valAx>
        <c:axId val="36564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49536"/>
        <c:crosses val="autoZero"/>
        <c:crossBetween val="midCat"/>
        <c:dispUnits/>
      </c:valAx>
      <c:valAx>
        <c:axId val="60649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eff at 1 fC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5649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2525"/>
          <c:w val="0.898"/>
          <c:h val="0.82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'200min anneal'!$A$17</c:f>
              <c:strCache>
                <c:ptCount val="1"/>
                <c:pt idx="0">
                  <c:v>Vrev = 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'200min anneal'!$B$20:$B$23</c:f>
              <c:numCache>
                <c:ptCount val="4"/>
                <c:pt idx="0">
                  <c:v>0.9929964465746631</c:v>
                </c:pt>
                <c:pt idx="1">
                  <c:v>1.1479423188166267</c:v>
                </c:pt>
                <c:pt idx="2">
                  <c:v>1.3545368151392445</c:v>
                </c:pt>
                <c:pt idx="3">
                  <c:v>1.6644285596231714</c:v>
                </c:pt>
              </c:numCache>
            </c:numRef>
          </c:xVal>
          <c:yVal>
            <c:numRef>
              <c:f>'200min anneal'!$G$20:$G$23</c:f>
              <c:numCache>
                <c:ptCount val="4"/>
                <c:pt idx="0">
                  <c:v>0.6118646398199099</c:v>
                </c:pt>
                <c:pt idx="1">
                  <c:v>0.5130387755298651</c:v>
                </c:pt>
                <c:pt idx="2">
                  <c:v>0.30306502759658804</c:v>
                </c:pt>
                <c:pt idx="3">
                  <c:v>0.13266338759689922</c:v>
                </c:pt>
              </c:numCache>
            </c:numRef>
          </c:yVal>
          <c:smooth val="1"/>
        </c:ser>
        <c:axId val="8974913"/>
        <c:axId val="13665354"/>
      </c:scatterChart>
      <c:valAx>
        <c:axId val="8974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665354"/>
        <c:crosses val="autoZero"/>
        <c:crossBetween val="midCat"/>
        <c:dispUnits/>
      </c:valAx>
      <c:valAx>
        <c:axId val="13665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9749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615"/>
          <c:w val="0.898"/>
          <c:h val="0.79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'200min anneal'!$A$28</c:f>
              <c:strCache>
                <c:ptCount val="1"/>
                <c:pt idx="0">
                  <c:v>Vrev = 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'200min anneal'!$B$31:$B$36</c:f>
              <c:numCache>
                <c:ptCount val="6"/>
                <c:pt idx="0">
                  <c:v>0.9929964465746631</c:v>
                </c:pt>
                <c:pt idx="1">
                  <c:v>1.1479423188166267</c:v>
                </c:pt>
                <c:pt idx="2">
                  <c:v>1.3545368151392445</c:v>
                </c:pt>
                <c:pt idx="3">
                  <c:v>1.509482687381208</c:v>
                </c:pt>
                <c:pt idx="4">
                  <c:v>1.6644285596231714</c:v>
                </c:pt>
                <c:pt idx="5">
                  <c:v>1.9743203041070985</c:v>
                </c:pt>
              </c:numCache>
            </c:numRef>
          </c:xVal>
          <c:yVal>
            <c:numRef>
              <c:f>'200min anneal'!$G$31:$G$36</c:f>
              <c:numCache>
                <c:ptCount val="6"/>
                <c:pt idx="0">
                  <c:v>0.7416608546168958</c:v>
                </c:pt>
                <c:pt idx="1">
                  <c:v>0.633912043743642</c:v>
                </c:pt>
                <c:pt idx="2">
                  <c:v>0.5433675775347913</c:v>
                </c:pt>
                <c:pt idx="3">
                  <c:v>0.3888659215589541</c:v>
                </c:pt>
                <c:pt idx="4">
                  <c:v>0.2598380471602434</c:v>
                </c:pt>
                <c:pt idx="5">
                  <c:v>0.1479975027133695</c:v>
                </c:pt>
              </c:numCache>
            </c:numRef>
          </c:yVal>
          <c:smooth val="1"/>
        </c:ser>
        <c:axId val="55879323"/>
        <c:axId val="33151860"/>
      </c:scatterChart>
      <c:valAx>
        <c:axId val="55879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51860"/>
        <c:crosses val="autoZero"/>
        <c:crossBetween val="midCat"/>
        <c:dispUnits/>
      </c:valAx>
      <c:valAx>
        <c:axId val="33151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793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6"/>
          <c:w val="0.89525"/>
          <c:h val="0.76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'200min anneal'!$A$41</c:f>
              <c:strCache>
                <c:ptCount val="1"/>
                <c:pt idx="0">
                  <c:v>Vrev = 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'200min anneal'!$B$44:$B$50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'200min anneal'!$G$44:$G$50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29931285"/>
        <c:axId val="946110"/>
      </c:scatterChart>
      <c:valAx>
        <c:axId val="29931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46110"/>
        <c:crosses val="autoZero"/>
        <c:crossBetween val="midCat"/>
        <c:dispUnits/>
      </c:valAx>
      <c:valAx>
        <c:axId val="946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312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5575"/>
          <c:w val="0.892"/>
          <c:h val="0.79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'200min anneal'!$A$69</c:f>
              <c:strCache>
                <c:ptCount val="1"/>
                <c:pt idx="0">
                  <c:v>Vrev = 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'200min anneal'!$B$72:$B$79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'200min anneal'!$G$72:$G$79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8514991"/>
        <c:axId val="9526056"/>
      </c:scatterChart>
      <c:valAx>
        <c:axId val="8514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26056"/>
        <c:crosses val="autoZero"/>
        <c:crossBetween val="midCat"/>
        <c:dispUnits/>
      </c:valAx>
      <c:valAx>
        <c:axId val="9526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149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56"/>
          <c:w val="0.899"/>
          <c:h val="0.76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'pre-anneal'!$A$38</c:f>
              <c:strCache>
                <c:ptCount val="1"/>
                <c:pt idx="0">
                  <c:v>Vrev = 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'pre-anneal'!$B$41:$B$47</c:f>
              <c:numCache>
                <c:ptCount val="7"/>
                <c:pt idx="0">
                  <c:v>0.9929964465746631</c:v>
                </c:pt>
                <c:pt idx="1">
                  <c:v>1.1479423188166267</c:v>
                </c:pt>
                <c:pt idx="2">
                  <c:v>1.3545368151392445</c:v>
                </c:pt>
                <c:pt idx="3">
                  <c:v>1.6644285596231714</c:v>
                </c:pt>
                <c:pt idx="4">
                  <c:v>1.9743203041070985</c:v>
                </c:pt>
                <c:pt idx="5">
                  <c:v>2.284212048591025</c:v>
                </c:pt>
                <c:pt idx="6">
                  <c:v>2.5941037930749524</c:v>
                </c:pt>
              </c:numCache>
            </c:numRef>
          </c:xVal>
          <c:yVal>
            <c:numRef>
              <c:f>'pre-anneal'!$G$41:$G$47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66362051"/>
        <c:axId val="60387548"/>
      </c:scatterChart>
      <c:valAx>
        <c:axId val="66362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387548"/>
        <c:crosses val="autoZero"/>
        <c:crossBetween val="midCat"/>
        <c:dispUnits/>
      </c:valAx>
      <c:valAx>
        <c:axId val="60387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3620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66"/>
          <c:w val="0.897"/>
          <c:h val="0.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'200min anneal'!$A$85</c:f>
              <c:strCache>
                <c:ptCount val="1"/>
                <c:pt idx="0">
                  <c:v>Vrev = 150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'200min anneal'!$B$88:$B$95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'200min anneal'!$G$88:$G$95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18625641"/>
        <c:axId val="33413042"/>
      </c:scatterChart>
      <c:valAx>
        <c:axId val="18625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413042"/>
        <c:crosses val="autoZero"/>
        <c:crossBetween val="midCat"/>
        <c:dispUnits/>
      </c:valAx>
      <c:valAx>
        <c:axId val="33413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6256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1275"/>
          <c:w val="0.89475"/>
          <c:h val="0.84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'200min anneal'!$A$54</c:f>
              <c:strCache>
                <c:ptCount val="1"/>
                <c:pt idx="0">
                  <c:v>Vrev = 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'200min anneal'!$B$57:$B$64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'200min anneal'!$G$57:$G$64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32281923"/>
        <c:axId val="22101852"/>
      </c:scatterChart>
      <c:valAx>
        <c:axId val="32281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01852"/>
        <c:crosses val="autoZero"/>
        <c:crossBetween val="midCat"/>
        <c:dispUnits/>
      </c:valAx>
      <c:valAx>
        <c:axId val="22101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819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6375"/>
          <c:w val="0.896"/>
          <c:h val="0.82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'200min anneal'!$A$114</c:f>
              <c:strCache>
                <c:ptCount val="1"/>
                <c:pt idx="0">
                  <c:v>Vrev = 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'200min anneal'!$B$117:$B$124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'200min anneal'!$G$117:$G$124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64698941"/>
        <c:axId val="45419558"/>
      </c:scatterChart>
      <c:valAx>
        <c:axId val="64698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419558"/>
        <c:crosses val="autoZero"/>
        <c:crossBetween val="midCat"/>
        <c:dispUnits/>
      </c:valAx>
      <c:valAx>
        <c:axId val="45419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989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16375"/>
          <c:w val="0.88925"/>
          <c:h val="0.78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'200min anneal'!$A$99</c:f>
              <c:strCache>
                <c:ptCount val="1"/>
                <c:pt idx="0">
                  <c:v>Vrev = 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'200min anneal'!$B$102:$B$109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'200min anneal'!$G$102:$G$109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6122839"/>
        <c:axId val="55105552"/>
      </c:scatterChart>
      <c:valAx>
        <c:axId val="6122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05552"/>
        <c:crosses val="autoZero"/>
        <c:crossBetween val="midCat"/>
        <c:dispUnits/>
      </c:valAx>
      <c:valAx>
        <c:axId val="55105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228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57"/>
          <c:w val="0.88575"/>
          <c:h val="0.76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'200min anneal'!$A$129</c:f>
              <c:strCache>
                <c:ptCount val="1"/>
                <c:pt idx="0">
                  <c:v>Vrev = 300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'200min anneal'!$B$135:$B$136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'200min anneal'!$G$135:$G$136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26187921"/>
        <c:axId val="34364698"/>
      </c:scatterChart>
      <c:valAx>
        <c:axId val="26187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64698"/>
        <c:crosses val="autoZero"/>
        <c:crossBetween val="midCat"/>
        <c:dispUnits/>
      </c:valAx>
      <c:valAx>
        <c:axId val="34364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879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68"/>
          <c:w val="0.889"/>
          <c:h val="0.7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'200min anneal'!$A$144</c:f>
              <c:strCache>
                <c:ptCount val="1"/>
                <c:pt idx="0">
                  <c:v>Vrev = 350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'200min anneal'!$B$151:$B$152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'200min anneal'!$G$151:$G$152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40846827"/>
        <c:axId val="32077124"/>
      </c:scatterChart>
      <c:valAx>
        <c:axId val="40846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77124"/>
        <c:crosses val="autoZero"/>
        <c:crossBetween val="midCat"/>
        <c:dispUnits/>
      </c:valAx>
      <c:valAx>
        <c:axId val="32077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8468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705"/>
          <c:w val="0.89525"/>
          <c:h val="0.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'200min anneal'!$A$158</c:f>
              <c:strCache>
                <c:ptCount val="1"/>
                <c:pt idx="0">
                  <c:v>Vrev = 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'200min anneal'!$B$165:$B$166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'200min anneal'!$G$165:$G$166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20258661"/>
        <c:axId val="48110222"/>
      </c:scatterChart>
      <c:valAx>
        <c:axId val="20258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10222"/>
        <c:crosses val="autoZero"/>
        <c:crossBetween val="midCat"/>
        <c:dispUnits/>
      </c:valAx>
      <c:valAx>
        <c:axId val="48110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586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'400min anneal'!$M$1</c:f>
              <c:strCache>
                <c:ptCount val="1"/>
                <c:pt idx="0">
                  <c:v>eff at 1fC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'400min anneal'!$L$2:$L$13</c:f>
              <c:numCache/>
            </c:numRef>
          </c:xVal>
          <c:yVal>
            <c:numRef>
              <c:f>'400min anneal'!$M$2:$M$13</c:f>
              <c:numCache/>
            </c:numRef>
          </c:yVal>
          <c:smooth val="1"/>
        </c:ser>
        <c:axId val="30338815"/>
        <c:axId val="4613880"/>
      </c:scatterChart>
      <c:valAx>
        <c:axId val="30338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3880"/>
        <c:crosses val="autoZero"/>
        <c:crossBetween val="midCat"/>
        <c:dispUnits/>
      </c:valAx>
      <c:valAx>
        <c:axId val="4613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eff at 1 fC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3388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74"/>
          <c:w val="0.8985"/>
          <c:h val="0.77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'400min anneal'!$A$40</c:f>
              <c:strCache>
                <c:ptCount val="1"/>
                <c:pt idx="0">
                  <c:v>Vrev = 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'400min anneal'!$B$43:$B$49</c:f>
              <c:numCache/>
            </c:numRef>
          </c:xVal>
          <c:yVal>
            <c:numRef>
              <c:f>'400min anneal'!$G$43:$G$49</c:f>
              <c:numCache/>
            </c:numRef>
          </c:yVal>
          <c:smooth val="1"/>
        </c:ser>
        <c:axId val="41524921"/>
        <c:axId val="38179970"/>
      </c:scatterChart>
      <c:valAx>
        <c:axId val="41524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79970"/>
        <c:crosses val="autoZero"/>
        <c:crossBetween val="midCat"/>
        <c:dispUnits/>
      </c:valAx>
      <c:valAx>
        <c:axId val="38179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5249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4575"/>
          <c:w val="0.89525"/>
          <c:h val="0.80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'400min anneal'!$A$28</c:f>
              <c:strCache>
                <c:ptCount val="1"/>
                <c:pt idx="0">
                  <c:v>Vrev = 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'400min anneal'!$B$31:$B$35</c:f>
              <c:numCache/>
            </c:numRef>
          </c:xVal>
          <c:yVal>
            <c:numRef>
              <c:f>'400min anneal'!$G$31:$G$35</c:f>
              <c:numCache/>
            </c:numRef>
          </c:yVal>
          <c:smooth val="1"/>
        </c:ser>
        <c:axId val="8075411"/>
        <c:axId val="5569836"/>
      </c:scatterChart>
      <c:valAx>
        <c:axId val="8075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69836"/>
        <c:crosses val="autoZero"/>
        <c:crossBetween val="midCat"/>
        <c:dispUnits/>
      </c:valAx>
      <c:valAx>
        <c:axId val="5569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754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6425"/>
          <c:w val="0.89575"/>
          <c:h val="0.77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'pre-anneal'!$A$51</c:f>
              <c:strCache>
                <c:ptCount val="1"/>
                <c:pt idx="0">
                  <c:v>Vrev = 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'pre-anneal'!$B$54:$B$61</c:f>
              <c:numCache>
                <c:ptCount val="8"/>
                <c:pt idx="0">
                  <c:v>0.9929964465746631</c:v>
                </c:pt>
                <c:pt idx="1">
                  <c:v>1.1479423188166267</c:v>
                </c:pt>
                <c:pt idx="2">
                  <c:v>1.3545368151392445</c:v>
                </c:pt>
                <c:pt idx="3">
                  <c:v>1.6644285596231714</c:v>
                </c:pt>
                <c:pt idx="4">
                  <c:v>1.9743203041070985</c:v>
                </c:pt>
                <c:pt idx="5">
                  <c:v>2.284212048591025</c:v>
                </c:pt>
                <c:pt idx="6">
                  <c:v>2.5941037930749524</c:v>
                </c:pt>
                <c:pt idx="7">
                  <c:v>2.9039955375588793</c:v>
                </c:pt>
              </c:numCache>
            </c:numRef>
          </c:xVal>
          <c:yVal>
            <c:numRef>
              <c:f>'pre-anneal'!$G$54:$G$61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6617021"/>
        <c:axId val="59553190"/>
      </c:scatterChart>
      <c:valAx>
        <c:axId val="6617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53190"/>
        <c:crosses val="autoZero"/>
        <c:crossBetween val="midCat"/>
        <c:dispUnits/>
      </c:valAx>
      <c:valAx>
        <c:axId val="59553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170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8"/>
          <c:w val="0.89525"/>
          <c:h val="0.77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'400min anneal'!$A$53</c:f>
              <c:strCache>
                <c:ptCount val="1"/>
                <c:pt idx="0">
                  <c:v>Vrev = 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'400min anneal'!$B$56:$B$62</c:f>
              <c:numCache/>
            </c:numRef>
          </c:xVal>
          <c:yVal>
            <c:numRef>
              <c:f>'400min anneal'!$G$56:$G$62</c:f>
              <c:numCache/>
            </c:numRef>
          </c:yVal>
          <c:smooth val="1"/>
        </c:ser>
        <c:axId val="50128525"/>
        <c:axId val="48503542"/>
      </c:scatterChart>
      <c:valAx>
        <c:axId val="50128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03542"/>
        <c:crosses val="autoZero"/>
        <c:crossBetween val="midCat"/>
        <c:dispUnits/>
      </c:valAx>
      <c:valAx>
        <c:axId val="48503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1285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79"/>
          <c:w val="0.892"/>
          <c:h val="0.78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'400min anneal'!$A$17</c:f>
              <c:strCache>
                <c:ptCount val="1"/>
                <c:pt idx="0">
                  <c:v>Vrev = 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'400min anneal'!$B$20:$B$23</c:f>
              <c:numCache/>
            </c:numRef>
          </c:xVal>
          <c:yVal>
            <c:numRef>
              <c:f>'400min anneal'!$G$20:$G$23</c:f>
              <c:numCache/>
            </c:numRef>
          </c:yVal>
          <c:smooth val="1"/>
        </c:ser>
        <c:axId val="33878695"/>
        <c:axId val="36472800"/>
      </c:scatterChart>
      <c:valAx>
        <c:axId val="33878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472800"/>
        <c:crosses val="autoZero"/>
        <c:crossBetween val="midCat"/>
        <c:dispUnits/>
      </c:valAx>
      <c:valAx>
        <c:axId val="36472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8786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75"/>
          <c:y val="0.184"/>
          <c:w val="0.8775"/>
          <c:h val="0.78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'400min anneal'!$A$7</c:f>
              <c:strCache>
                <c:ptCount val="1"/>
                <c:pt idx="0">
                  <c:v>Vrev = 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'400min anneal'!$B$10:$B$12</c:f>
              <c:numCache/>
            </c:numRef>
          </c:xVal>
          <c:yVal>
            <c:numRef>
              <c:f>'400min anneal'!$G$10:$G$12</c:f>
              <c:numCache/>
            </c:numRef>
          </c:yVal>
          <c:smooth val="1"/>
        </c:ser>
        <c:axId val="59819745"/>
        <c:axId val="1506794"/>
      </c:scatterChart>
      <c:valAx>
        <c:axId val="59819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6794"/>
        <c:crosses val="autoZero"/>
        <c:crossBetween val="midCat"/>
        <c:dispUnits/>
      </c:valAx>
      <c:valAx>
        <c:axId val="1506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197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65"/>
          <c:w val="0.89575"/>
          <c:h val="0.79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'400min anneal'!$A$68</c:f>
              <c:strCache>
                <c:ptCount val="1"/>
                <c:pt idx="0">
                  <c:v>Vrev = 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'400min anneal'!$B$71:$B$78</c:f>
              <c:numCache/>
            </c:numRef>
          </c:xVal>
          <c:yVal>
            <c:numRef>
              <c:f>'400min anneal'!$G$71:$G$78</c:f>
              <c:numCache/>
            </c:numRef>
          </c:yVal>
          <c:smooth val="1"/>
        </c:ser>
        <c:axId val="13561147"/>
        <c:axId val="54941460"/>
      </c:scatterChart>
      <c:valAx>
        <c:axId val="13561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41460"/>
        <c:crosses val="autoZero"/>
        <c:crossBetween val="midCat"/>
        <c:dispUnits/>
      </c:valAx>
      <c:valAx>
        <c:axId val="54941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5611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8125"/>
          <c:w val="0.8955"/>
          <c:h val="0.7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'400min anneal'!$A$84</c:f>
              <c:strCache>
                <c:ptCount val="1"/>
                <c:pt idx="0">
                  <c:v>Vrev = 150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'400min anneal'!$B$87:$B$94</c:f>
              <c:numCache/>
            </c:numRef>
          </c:xVal>
          <c:yVal>
            <c:numRef>
              <c:f>'400min anneal'!$G$87:$G$94</c:f>
              <c:numCache/>
            </c:numRef>
          </c:yVal>
          <c:smooth val="1"/>
        </c:ser>
        <c:axId val="24711093"/>
        <c:axId val="21073246"/>
      </c:scatterChart>
      <c:valAx>
        <c:axId val="24711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73246"/>
        <c:crosses val="autoZero"/>
        <c:crossBetween val="midCat"/>
        <c:dispUnits/>
      </c:valAx>
      <c:valAx>
        <c:axId val="21073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7110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705"/>
          <c:w val="0.8915"/>
          <c:h val="0.79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'400min anneal'!$A$98</c:f>
              <c:strCache>
                <c:ptCount val="1"/>
                <c:pt idx="0">
                  <c:v>Vrev = 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'400min anneal'!$B$101:$B$108</c:f>
              <c:numCache/>
            </c:numRef>
          </c:xVal>
          <c:yVal>
            <c:numRef>
              <c:f>'400min anneal'!$G$101:$G$108</c:f>
              <c:numCache/>
            </c:numRef>
          </c:yVal>
          <c:smooth val="1"/>
        </c:ser>
        <c:axId val="55441487"/>
        <c:axId val="29211336"/>
      </c:scatterChart>
      <c:valAx>
        <c:axId val="55441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11336"/>
        <c:crosses val="autoZero"/>
        <c:crossBetween val="midCat"/>
        <c:dispUnits/>
      </c:valAx>
      <c:valAx>
        <c:axId val="29211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4414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7475"/>
          <c:w val="0.89725"/>
          <c:h val="0.76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'400min anneal'!$A$113</c:f>
              <c:strCache>
                <c:ptCount val="1"/>
                <c:pt idx="0">
                  <c:v>Vrev = 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'400min anneal'!$B$116:$B$123</c:f>
              <c:numCache/>
            </c:numRef>
          </c:xVal>
          <c:yVal>
            <c:numRef>
              <c:f>'400min anneal'!$G$116:$G$123</c:f>
              <c:numCache/>
            </c:numRef>
          </c:yVal>
          <c:smooth val="1"/>
        </c:ser>
        <c:axId val="61575433"/>
        <c:axId val="17307986"/>
      </c:scatterChart>
      <c:valAx>
        <c:axId val="61575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07986"/>
        <c:crosses val="autoZero"/>
        <c:crossBetween val="midCat"/>
        <c:dispUnits/>
      </c:valAx>
      <c:valAx>
        <c:axId val="17307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754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7325"/>
          <c:w val="0.892"/>
          <c:h val="0.76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'400min anneal'!$A$128</c:f>
              <c:strCache>
                <c:ptCount val="1"/>
                <c:pt idx="0">
                  <c:v>Vrev = 300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'400min anneal'!$B$134:$B$136</c:f>
              <c:numCache/>
            </c:numRef>
          </c:xVal>
          <c:yVal>
            <c:numRef>
              <c:f>'400min anneal'!$G$134:$G$136</c:f>
              <c:numCache/>
            </c:numRef>
          </c:yVal>
          <c:smooth val="1"/>
        </c:ser>
        <c:axId val="21554147"/>
        <c:axId val="59769596"/>
      </c:scatterChart>
      <c:valAx>
        <c:axId val="21554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769596"/>
        <c:crosses val="autoZero"/>
        <c:crossBetween val="midCat"/>
        <c:dispUnits/>
      </c:valAx>
      <c:valAx>
        <c:axId val="59769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5541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6425"/>
          <c:w val="0.89325"/>
          <c:h val="0.76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'400min anneal'!$A$143</c:f>
              <c:strCache>
                <c:ptCount val="1"/>
                <c:pt idx="0">
                  <c:v>Vrev = 350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'400min anneal'!$B$149:$B$151</c:f>
              <c:numCache/>
            </c:numRef>
          </c:xVal>
          <c:yVal>
            <c:numRef>
              <c:f>'400min anneal'!$G$149:$G$151</c:f>
              <c:numCache/>
            </c:numRef>
          </c:yVal>
          <c:smooth val="1"/>
        </c:ser>
        <c:axId val="1055453"/>
        <c:axId val="9499078"/>
      </c:scatterChart>
      <c:valAx>
        <c:axId val="1055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499078"/>
        <c:crosses val="autoZero"/>
        <c:crossBetween val="midCat"/>
        <c:dispUnits/>
      </c:valAx>
      <c:valAx>
        <c:axId val="9499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554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685"/>
          <c:w val="0.8955"/>
          <c:h val="0.8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'400min anneal'!$A$157</c:f>
              <c:strCache>
                <c:ptCount val="1"/>
                <c:pt idx="0">
                  <c:v>Vrev = 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'400min anneal'!$B$163:$B$165</c:f>
              <c:numCache/>
            </c:numRef>
          </c:xVal>
          <c:yVal>
            <c:numRef>
              <c:f>'400min anneal'!$G$163:$G$165</c:f>
              <c:numCache/>
            </c:numRef>
          </c:yVal>
          <c:smooth val="1"/>
        </c:ser>
        <c:axId val="18382839"/>
        <c:axId val="31227824"/>
      </c:scatterChart>
      <c:valAx>
        <c:axId val="18382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27824"/>
        <c:crosses val="autoZero"/>
        <c:crossBetween val="midCat"/>
        <c:dispUnits/>
      </c:valAx>
      <c:valAx>
        <c:axId val="31227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828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17075"/>
          <c:w val="0.888"/>
          <c:h val="0.76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'pre-anneal'!$A$14</c:f>
              <c:strCache>
                <c:ptCount val="1"/>
                <c:pt idx="0">
                  <c:v>Vrev = 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'pre-anneal'!$B$17:$B$20</c:f>
              <c:numCache>
                <c:ptCount val="4"/>
                <c:pt idx="0">
                  <c:v>0.9929964465746631</c:v>
                </c:pt>
                <c:pt idx="1">
                  <c:v>1.1479423188166267</c:v>
                </c:pt>
                <c:pt idx="2">
                  <c:v>1.3545368151392445</c:v>
                </c:pt>
                <c:pt idx="3">
                  <c:v>1.6644285596231714</c:v>
                </c:pt>
              </c:numCache>
            </c:numRef>
          </c:xVal>
          <c:yVal>
            <c:numRef>
              <c:f>'pre-anneal'!$G$17:$G$20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66216663"/>
        <c:axId val="59079056"/>
      </c:scatterChart>
      <c:valAx>
        <c:axId val="66216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79056"/>
        <c:crosses val="autoZero"/>
        <c:crossBetween val="midCat"/>
        <c:dispUnits/>
      </c:valAx>
      <c:valAx>
        <c:axId val="59079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2166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chart" Target="/xl/charts/chart13.xml" /><Relationship Id="rId9" Type="http://schemas.openxmlformats.org/officeDocument/2006/relationships/chart" Target="/xl/charts/chart14.xml" /><Relationship Id="rId10" Type="http://schemas.openxmlformats.org/officeDocument/2006/relationships/chart" Target="/xl/charts/chart15.xml" /><Relationship Id="rId11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Relationship Id="rId10" Type="http://schemas.openxmlformats.org/officeDocument/2006/relationships/chart" Target="/xl/charts/chart26.xml" /><Relationship Id="rId11" Type="http://schemas.openxmlformats.org/officeDocument/2006/relationships/chart" Target="/xl/charts/chart2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Relationship Id="rId4" Type="http://schemas.openxmlformats.org/officeDocument/2006/relationships/chart" Target="/xl/charts/chart42.xml" /><Relationship Id="rId5" Type="http://schemas.openxmlformats.org/officeDocument/2006/relationships/chart" Target="/xl/charts/chart43.xml" /><Relationship Id="rId6" Type="http://schemas.openxmlformats.org/officeDocument/2006/relationships/chart" Target="/xl/charts/chart44.xml" /><Relationship Id="rId7" Type="http://schemas.openxmlformats.org/officeDocument/2006/relationships/chart" Target="/xl/charts/chart45.xml" /><Relationship Id="rId8" Type="http://schemas.openxmlformats.org/officeDocument/2006/relationships/chart" Target="/xl/charts/chart46.xml" /><Relationship Id="rId9" Type="http://schemas.openxmlformats.org/officeDocument/2006/relationships/chart" Target="/xl/charts/chart47.xml" /><Relationship Id="rId10" Type="http://schemas.openxmlformats.org/officeDocument/2006/relationships/chart" Target="/xl/charts/chart48.xml" /><Relationship Id="rId11" Type="http://schemas.openxmlformats.org/officeDocument/2006/relationships/chart" Target="/xl/charts/chart49.xml" /><Relationship Id="rId12" Type="http://schemas.openxmlformats.org/officeDocument/2006/relationships/chart" Target="/xl/charts/chart50.xml" /><Relationship Id="rId13" Type="http://schemas.openxmlformats.org/officeDocument/2006/relationships/chart" Target="/xl/charts/chart5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Relationship Id="rId2" Type="http://schemas.openxmlformats.org/officeDocument/2006/relationships/chart" Target="/xl/charts/chart53.xml" /><Relationship Id="rId3" Type="http://schemas.openxmlformats.org/officeDocument/2006/relationships/chart" Target="/xl/charts/chart54.xml" /><Relationship Id="rId4" Type="http://schemas.openxmlformats.org/officeDocument/2006/relationships/chart" Target="/xl/charts/chart55.xml" /><Relationship Id="rId5" Type="http://schemas.openxmlformats.org/officeDocument/2006/relationships/chart" Target="/xl/charts/chart56.xml" /><Relationship Id="rId6" Type="http://schemas.openxmlformats.org/officeDocument/2006/relationships/chart" Target="/xl/charts/chart57.xml" /><Relationship Id="rId7" Type="http://schemas.openxmlformats.org/officeDocument/2006/relationships/chart" Target="/xl/charts/chart58.xml" /><Relationship Id="rId8" Type="http://schemas.openxmlformats.org/officeDocument/2006/relationships/chart" Target="/xl/charts/chart59.xml" /><Relationship Id="rId9" Type="http://schemas.openxmlformats.org/officeDocument/2006/relationships/chart" Target="/xl/charts/chart60.xml" /><Relationship Id="rId10" Type="http://schemas.openxmlformats.org/officeDocument/2006/relationships/chart" Target="/xl/charts/chart61.xml" /><Relationship Id="rId11" Type="http://schemas.openxmlformats.org/officeDocument/2006/relationships/chart" Target="/xl/charts/chart62.xml" /><Relationship Id="rId12" Type="http://schemas.openxmlformats.org/officeDocument/2006/relationships/chart" Target="/xl/charts/chart63.xml" /><Relationship Id="rId13" Type="http://schemas.openxmlformats.org/officeDocument/2006/relationships/chart" Target="/xl/charts/chart6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5.xml" /><Relationship Id="rId2" Type="http://schemas.openxmlformats.org/officeDocument/2006/relationships/chart" Target="/xl/charts/chart66.xml" /><Relationship Id="rId3" Type="http://schemas.openxmlformats.org/officeDocument/2006/relationships/chart" Target="/xl/charts/chart67.xml" /><Relationship Id="rId4" Type="http://schemas.openxmlformats.org/officeDocument/2006/relationships/chart" Target="/xl/charts/chart68.xml" /><Relationship Id="rId5" Type="http://schemas.openxmlformats.org/officeDocument/2006/relationships/chart" Target="/xl/charts/chart69.xml" /><Relationship Id="rId6" Type="http://schemas.openxmlformats.org/officeDocument/2006/relationships/chart" Target="/xl/charts/chart70.xml" /><Relationship Id="rId7" Type="http://schemas.openxmlformats.org/officeDocument/2006/relationships/chart" Target="/xl/charts/chart71.xml" /><Relationship Id="rId8" Type="http://schemas.openxmlformats.org/officeDocument/2006/relationships/chart" Target="/xl/charts/chart72.xml" /><Relationship Id="rId9" Type="http://schemas.openxmlformats.org/officeDocument/2006/relationships/chart" Target="/xl/charts/chart73.xml" /><Relationship Id="rId10" Type="http://schemas.openxmlformats.org/officeDocument/2006/relationships/chart" Target="/xl/charts/chart74.xml" /><Relationship Id="rId11" Type="http://schemas.openxmlformats.org/officeDocument/2006/relationships/chart" Target="/xl/charts/chart75.xml" /><Relationship Id="rId12" Type="http://schemas.openxmlformats.org/officeDocument/2006/relationships/chart" Target="/xl/charts/chart7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7.xml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Relationship Id="rId7" Type="http://schemas.openxmlformats.org/officeDocument/2006/relationships/chart" Target="/xl/charts/chart83.xml" /><Relationship Id="rId8" Type="http://schemas.openxmlformats.org/officeDocument/2006/relationships/chart" Target="/xl/charts/chart84.xml" /><Relationship Id="rId9" Type="http://schemas.openxmlformats.org/officeDocument/2006/relationships/chart" Target="/xl/charts/chart85.xml" /><Relationship Id="rId10" Type="http://schemas.openxmlformats.org/officeDocument/2006/relationships/chart" Target="/xl/charts/chart86.xml" /><Relationship Id="rId11" Type="http://schemas.openxmlformats.org/officeDocument/2006/relationships/chart" Target="/xl/charts/chart87.xml" /><Relationship Id="rId12" Type="http://schemas.openxmlformats.org/officeDocument/2006/relationships/chart" Target="/xl/charts/chart88.xml" /><Relationship Id="rId13" Type="http://schemas.openxmlformats.org/officeDocument/2006/relationships/chart" Target="/xl/charts/chart8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38100</xdr:rowOff>
    </xdr:from>
    <xdr:to>
      <xdr:col>14</xdr:col>
      <xdr:colOff>371475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4714875" y="38100"/>
        <a:ext cx="41910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447675</xdr:colOff>
      <xdr:row>17</xdr:row>
      <xdr:rowOff>123825</xdr:rowOff>
    </xdr:from>
    <xdr:to>
      <xdr:col>14</xdr:col>
      <xdr:colOff>371475</xdr:colOff>
      <xdr:row>33</xdr:row>
      <xdr:rowOff>85725</xdr:rowOff>
    </xdr:to>
    <xdr:graphicFrame>
      <xdr:nvGraphicFramePr>
        <xdr:cNvPr id="2" name="Chart 2"/>
        <xdr:cNvGraphicFramePr/>
      </xdr:nvGraphicFramePr>
      <xdr:xfrm>
        <a:off x="4714875" y="2876550"/>
        <a:ext cx="41910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22</xdr:row>
      <xdr:rowOff>114300</xdr:rowOff>
    </xdr:from>
    <xdr:to>
      <xdr:col>13</xdr:col>
      <xdr:colOff>28575</xdr:colOff>
      <xdr:row>38</xdr:row>
      <xdr:rowOff>76200</xdr:rowOff>
    </xdr:to>
    <xdr:graphicFrame>
      <xdr:nvGraphicFramePr>
        <xdr:cNvPr id="1" name="Chart 2"/>
        <xdr:cNvGraphicFramePr/>
      </xdr:nvGraphicFramePr>
      <xdr:xfrm>
        <a:off x="3933825" y="3676650"/>
        <a:ext cx="42005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0</xdr:row>
      <xdr:rowOff>114300</xdr:rowOff>
    </xdr:from>
    <xdr:to>
      <xdr:col>11</xdr:col>
      <xdr:colOff>533400</xdr:colOff>
      <xdr:row>15</xdr:row>
      <xdr:rowOff>142875</xdr:rowOff>
    </xdr:to>
    <xdr:graphicFrame>
      <xdr:nvGraphicFramePr>
        <xdr:cNvPr id="2" name="Chart 3"/>
        <xdr:cNvGraphicFramePr/>
      </xdr:nvGraphicFramePr>
      <xdr:xfrm>
        <a:off x="3248025" y="114300"/>
        <a:ext cx="4171950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285750</xdr:colOff>
      <xdr:row>6</xdr:row>
      <xdr:rowOff>9525</xdr:rowOff>
    </xdr:from>
    <xdr:to>
      <xdr:col>12</xdr:col>
      <xdr:colOff>209550</xdr:colOff>
      <xdr:row>22</xdr:row>
      <xdr:rowOff>114300</xdr:rowOff>
    </xdr:to>
    <xdr:graphicFrame>
      <xdr:nvGraphicFramePr>
        <xdr:cNvPr id="3" name="Chart 4"/>
        <xdr:cNvGraphicFramePr/>
      </xdr:nvGraphicFramePr>
      <xdr:xfrm>
        <a:off x="3514725" y="981075"/>
        <a:ext cx="41910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22</xdr:row>
      <xdr:rowOff>123825</xdr:rowOff>
    </xdr:from>
    <xdr:to>
      <xdr:col>13</xdr:col>
      <xdr:colOff>57150</xdr:colOff>
      <xdr:row>36</xdr:row>
      <xdr:rowOff>95250</xdr:rowOff>
    </xdr:to>
    <xdr:graphicFrame>
      <xdr:nvGraphicFramePr>
        <xdr:cNvPr id="1" name="Chart 10"/>
        <xdr:cNvGraphicFramePr/>
      </xdr:nvGraphicFramePr>
      <xdr:xfrm>
        <a:off x="4438650" y="3686175"/>
        <a:ext cx="36195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36</xdr:row>
      <xdr:rowOff>104775</xdr:rowOff>
    </xdr:from>
    <xdr:to>
      <xdr:col>12</xdr:col>
      <xdr:colOff>438150</xdr:colOff>
      <xdr:row>50</xdr:row>
      <xdr:rowOff>47625</xdr:rowOff>
    </xdr:to>
    <xdr:graphicFrame>
      <xdr:nvGraphicFramePr>
        <xdr:cNvPr id="2" name="Chart 11"/>
        <xdr:cNvGraphicFramePr/>
      </xdr:nvGraphicFramePr>
      <xdr:xfrm>
        <a:off x="4410075" y="5934075"/>
        <a:ext cx="3419475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47625</xdr:colOff>
      <xdr:row>49</xdr:row>
      <xdr:rowOff>123825</xdr:rowOff>
    </xdr:from>
    <xdr:to>
      <xdr:col>12</xdr:col>
      <xdr:colOff>457200</xdr:colOff>
      <xdr:row>63</xdr:row>
      <xdr:rowOff>85725</xdr:rowOff>
    </xdr:to>
    <xdr:graphicFrame>
      <xdr:nvGraphicFramePr>
        <xdr:cNvPr id="3" name="Chart 12"/>
        <xdr:cNvGraphicFramePr/>
      </xdr:nvGraphicFramePr>
      <xdr:xfrm>
        <a:off x="4391025" y="8058150"/>
        <a:ext cx="3457575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190500</xdr:colOff>
      <xdr:row>13</xdr:row>
      <xdr:rowOff>28575</xdr:rowOff>
    </xdr:from>
    <xdr:to>
      <xdr:col>12</xdr:col>
      <xdr:colOff>304800</xdr:colOff>
      <xdr:row>25</xdr:row>
      <xdr:rowOff>114300</xdr:rowOff>
    </xdr:to>
    <xdr:graphicFrame>
      <xdr:nvGraphicFramePr>
        <xdr:cNvPr id="4" name="Chart 13"/>
        <xdr:cNvGraphicFramePr/>
      </xdr:nvGraphicFramePr>
      <xdr:xfrm>
        <a:off x="4533900" y="2133600"/>
        <a:ext cx="3162300" cy="2028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85725</xdr:colOff>
      <xdr:row>63</xdr:row>
      <xdr:rowOff>114300</xdr:rowOff>
    </xdr:from>
    <xdr:to>
      <xdr:col>12</xdr:col>
      <xdr:colOff>333375</xdr:colOff>
      <xdr:row>78</xdr:row>
      <xdr:rowOff>85725</xdr:rowOff>
    </xdr:to>
    <xdr:graphicFrame>
      <xdr:nvGraphicFramePr>
        <xdr:cNvPr id="5" name="Chart 14"/>
        <xdr:cNvGraphicFramePr/>
      </xdr:nvGraphicFramePr>
      <xdr:xfrm>
        <a:off x="4429125" y="10315575"/>
        <a:ext cx="32956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133350</xdr:colOff>
      <xdr:row>81</xdr:row>
      <xdr:rowOff>95250</xdr:rowOff>
    </xdr:from>
    <xdr:to>
      <xdr:col>12</xdr:col>
      <xdr:colOff>466725</xdr:colOff>
      <xdr:row>95</xdr:row>
      <xdr:rowOff>85725</xdr:rowOff>
    </xdr:to>
    <xdr:graphicFrame>
      <xdr:nvGraphicFramePr>
        <xdr:cNvPr id="6" name="Chart 15"/>
        <xdr:cNvGraphicFramePr/>
      </xdr:nvGraphicFramePr>
      <xdr:xfrm>
        <a:off x="4476750" y="13211175"/>
        <a:ext cx="3381375" cy="2257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57150</xdr:colOff>
      <xdr:row>93</xdr:row>
      <xdr:rowOff>152400</xdr:rowOff>
    </xdr:from>
    <xdr:to>
      <xdr:col>13</xdr:col>
      <xdr:colOff>85725</xdr:colOff>
      <xdr:row>109</xdr:row>
      <xdr:rowOff>9525</xdr:rowOff>
    </xdr:to>
    <xdr:graphicFrame>
      <xdr:nvGraphicFramePr>
        <xdr:cNvPr id="7" name="Chart 16"/>
        <xdr:cNvGraphicFramePr/>
      </xdr:nvGraphicFramePr>
      <xdr:xfrm>
        <a:off x="4400550" y="15211425"/>
        <a:ext cx="3686175" cy="2447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47625</xdr:colOff>
      <xdr:row>108</xdr:row>
      <xdr:rowOff>66675</xdr:rowOff>
    </xdr:from>
    <xdr:to>
      <xdr:col>12</xdr:col>
      <xdr:colOff>552450</xdr:colOff>
      <xdr:row>123</xdr:row>
      <xdr:rowOff>85725</xdr:rowOff>
    </xdr:to>
    <xdr:graphicFrame>
      <xdr:nvGraphicFramePr>
        <xdr:cNvPr id="8" name="Chart 17"/>
        <xdr:cNvGraphicFramePr/>
      </xdr:nvGraphicFramePr>
      <xdr:xfrm>
        <a:off x="4391025" y="17554575"/>
        <a:ext cx="3552825" cy="2447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114300</xdr:colOff>
      <xdr:row>124</xdr:row>
      <xdr:rowOff>9525</xdr:rowOff>
    </xdr:from>
    <xdr:to>
      <xdr:col>12</xdr:col>
      <xdr:colOff>323850</xdr:colOff>
      <xdr:row>138</xdr:row>
      <xdr:rowOff>85725</xdr:rowOff>
    </xdr:to>
    <xdr:graphicFrame>
      <xdr:nvGraphicFramePr>
        <xdr:cNvPr id="9" name="Chart 18"/>
        <xdr:cNvGraphicFramePr/>
      </xdr:nvGraphicFramePr>
      <xdr:xfrm>
        <a:off x="4457700" y="20088225"/>
        <a:ext cx="3257550" cy="2343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180975</xdr:colOff>
      <xdr:row>139</xdr:row>
      <xdr:rowOff>114300</xdr:rowOff>
    </xdr:from>
    <xdr:to>
      <xdr:col>12</xdr:col>
      <xdr:colOff>152400</xdr:colOff>
      <xdr:row>153</xdr:row>
      <xdr:rowOff>38100</xdr:rowOff>
    </xdr:to>
    <xdr:graphicFrame>
      <xdr:nvGraphicFramePr>
        <xdr:cNvPr id="10" name="Chart 19"/>
        <xdr:cNvGraphicFramePr/>
      </xdr:nvGraphicFramePr>
      <xdr:xfrm>
        <a:off x="4524375" y="22621875"/>
        <a:ext cx="3019425" cy="2190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295275</xdr:colOff>
      <xdr:row>152</xdr:row>
      <xdr:rowOff>95250</xdr:rowOff>
    </xdr:from>
    <xdr:to>
      <xdr:col>13</xdr:col>
      <xdr:colOff>19050</xdr:colOff>
      <xdr:row>168</xdr:row>
      <xdr:rowOff>47625</xdr:rowOff>
    </xdr:to>
    <xdr:graphicFrame>
      <xdr:nvGraphicFramePr>
        <xdr:cNvPr id="11" name="Chart 20"/>
        <xdr:cNvGraphicFramePr/>
      </xdr:nvGraphicFramePr>
      <xdr:xfrm>
        <a:off x="4638675" y="24707850"/>
        <a:ext cx="3381375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25</xdr:row>
      <xdr:rowOff>123825</xdr:rowOff>
    </xdr:from>
    <xdr:to>
      <xdr:col>12</xdr:col>
      <xdr:colOff>400050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4343400" y="4171950"/>
        <a:ext cx="3409950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133350</xdr:colOff>
      <xdr:row>14</xdr:row>
      <xdr:rowOff>95250</xdr:rowOff>
    </xdr:from>
    <xdr:to>
      <xdr:col>12</xdr:col>
      <xdr:colOff>400050</xdr:colOff>
      <xdr:row>26</xdr:row>
      <xdr:rowOff>47625</xdr:rowOff>
    </xdr:to>
    <xdr:graphicFrame>
      <xdr:nvGraphicFramePr>
        <xdr:cNvPr id="2" name="Chart 2"/>
        <xdr:cNvGraphicFramePr/>
      </xdr:nvGraphicFramePr>
      <xdr:xfrm>
        <a:off x="4438650" y="2362200"/>
        <a:ext cx="3314700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123825</xdr:colOff>
      <xdr:row>40</xdr:row>
      <xdr:rowOff>38100</xdr:rowOff>
    </xdr:from>
    <xdr:to>
      <xdr:col>12</xdr:col>
      <xdr:colOff>581025</xdr:colOff>
      <xdr:row>53</xdr:row>
      <xdr:rowOff>76200</xdr:rowOff>
    </xdr:to>
    <xdr:graphicFrame>
      <xdr:nvGraphicFramePr>
        <xdr:cNvPr id="3" name="Chart 3"/>
        <xdr:cNvGraphicFramePr/>
      </xdr:nvGraphicFramePr>
      <xdr:xfrm>
        <a:off x="4429125" y="6515100"/>
        <a:ext cx="350520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161925</xdr:colOff>
      <xdr:row>53</xdr:row>
      <xdr:rowOff>38100</xdr:rowOff>
    </xdr:from>
    <xdr:to>
      <xdr:col>12</xdr:col>
      <xdr:colOff>457200</xdr:colOff>
      <xdr:row>66</xdr:row>
      <xdr:rowOff>47625</xdr:rowOff>
    </xdr:to>
    <xdr:graphicFrame>
      <xdr:nvGraphicFramePr>
        <xdr:cNvPr id="4" name="Chart 4"/>
        <xdr:cNvGraphicFramePr/>
      </xdr:nvGraphicFramePr>
      <xdr:xfrm>
        <a:off x="4467225" y="8620125"/>
        <a:ext cx="3343275" cy="2114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38100</xdr:colOff>
      <xdr:row>67</xdr:row>
      <xdr:rowOff>19050</xdr:rowOff>
    </xdr:from>
    <xdr:to>
      <xdr:col>12</xdr:col>
      <xdr:colOff>552450</xdr:colOff>
      <xdr:row>81</xdr:row>
      <xdr:rowOff>47625</xdr:rowOff>
    </xdr:to>
    <xdr:graphicFrame>
      <xdr:nvGraphicFramePr>
        <xdr:cNvPr id="5" name="Chart 5"/>
        <xdr:cNvGraphicFramePr/>
      </xdr:nvGraphicFramePr>
      <xdr:xfrm>
        <a:off x="4343400" y="10868025"/>
        <a:ext cx="35623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133350</xdr:colOff>
      <xdr:row>83</xdr:row>
      <xdr:rowOff>76200</xdr:rowOff>
    </xdr:from>
    <xdr:to>
      <xdr:col>12</xdr:col>
      <xdr:colOff>457200</xdr:colOff>
      <xdr:row>97</xdr:row>
      <xdr:rowOff>19050</xdr:rowOff>
    </xdr:to>
    <xdr:graphicFrame>
      <xdr:nvGraphicFramePr>
        <xdr:cNvPr id="6" name="Chart 6"/>
        <xdr:cNvGraphicFramePr/>
      </xdr:nvGraphicFramePr>
      <xdr:xfrm>
        <a:off x="4438650" y="13515975"/>
        <a:ext cx="337185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152400</xdr:colOff>
      <xdr:row>97</xdr:row>
      <xdr:rowOff>57150</xdr:rowOff>
    </xdr:from>
    <xdr:to>
      <xdr:col>12</xdr:col>
      <xdr:colOff>495300</xdr:colOff>
      <xdr:row>111</xdr:row>
      <xdr:rowOff>47625</xdr:rowOff>
    </xdr:to>
    <xdr:graphicFrame>
      <xdr:nvGraphicFramePr>
        <xdr:cNvPr id="7" name="Chart 7"/>
        <xdr:cNvGraphicFramePr/>
      </xdr:nvGraphicFramePr>
      <xdr:xfrm>
        <a:off x="4457700" y="15763875"/>
        <a:ext cx="3390900" cy="2257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171450</xdr:colOff>
      <xdr:row>111</xdr:row>
      <xdr:rowOff>85725</xdr:rowOff>
    </xdr:from>
    <xdr:to>
      <xdr:col>12</xdr:col>
      <xdr:colOff>523875</xdr:colOff>
      <xdr:row>126</xdr:row>
      <xdr:rowOff>19050</xdr:rowOff>
    </xdr:to>
    <xdr:graphicFrame>
      <xdr:nvGraphicFramePr>
        <xdr:cNvPr id="8" name="Chart 8"/>
        <xdr:cNvGraphicFramePr/>
      </xdr:nvGraphicFramePr>
      <xdr:xfrm>
        <a:off x="4476750" y="18059400"/>
        <a:ext cx="3400425" cy="2362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57150</xdr:colOff>
      <xdr:row>129</xdr:row>
      <xdr:rowOff>95250</xdr:rowOff>
    </xdr:from>
    <xdr:to>
      <xdr:col>12</xdr:col>
      <xdr:colOff>438150</xdr:colOff>
      <xdr:row>143</xdr:row>
      <xdr:rowOff>0</xdr:rowOff>
    </xdr:to>
    <xdr:graphicFrame>
      <xdr:nvGraphicFramePr>
        <xdr:cNvPr id="9" name="Chart 9"/>
        <xdr:cNvGraphicFramePr/>
      </xdr:nvGraphicFramePr>
      <xdr:xfrm>
        <a:off x="4362450" y="20983575"/>
        <a:ext cx="3429000" cy="2171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57150</xdr:colOff>
      <xdr:row>142</xdr:row>
      <xdr:rowOff>142875</xdr:rowOff>
    </xdr:from>
    <xdr:to>
      <xdr:col>12</xdr:col>
      <xdr:colOff>504825</xdr:colOff>
      <xdr:row>156</xdr:row>
      <xdr:rowOff>95250</xdr:rowOff>
    </xdr:to>
    <xdr:graphicFrame>
      <xdr:nvGraphicFramePr>
        <xdr:cNvPr id="10" name="Chart 10"/>
        <xdr:cNvGraphicFramePr/>
      </xdr:nvGraphicFramePr>
      <xdr:xfrm>
        <a:off x="4362450" y="23136225"/>
        <a:ext cx="3495675" cy="2219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133350</xdr:colOff>
      <xdr:row>156</xdr:row>
      <xdr:rowOff>95250</xdr:rowOff>
    </xdr:from>
    <xdr:to>
      <xdr:col>12</xdr:col>
      <xdr:colOff>447675</xdr:colOff>
      <xdr:row>170</xdr:row>
      <xdr:rowOff>9525</xdr:rowOff>
    </xdr:to>
    <xdr:graphicFrame>
      <xdr:nvGraphicFramePr>
        <xdr:cNvPr id="11" name="Chart 11"/>
        <xdr:cNvGraphicFramePr/>
      </xdr:nvGraphicFramePr>
      <xdr:xfrm>
        <a:off x="4438650" y="25355550"/>
        <a:ext cx="3362325" cy="2181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14</xdr:row>
      <xdr:rowOff>142875</xdr:rowOff>
    </xdr:from>
    <xdr:to>
      <xdr:col>12</xdr:col>
      <xdr:colOff>247650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4438650" y="2409825"/>
        <a:ext cx="320040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25</xdr:row>
      <xdr:rowOff>85725</xdr:rowOff>
    </xdr:from>
    <xdr:to>
      <xdr:col>12</xdr:col>
      <xdr:colOff>361950</xdr:colOff>
      <xdr:row>37</xdr:row>
      <xdr:rowOff>85725</xdr:rowOff>
    </xdr:to>
    <xdr:graphicFrame>
      <xdr:nvGraphicFramePr>
        <xdr:cNvPr id="2" name="Chart 2"/>
        <xdr:cNvGraphicFramePr/>
      </xdr:nvGraphicFramePr>
      <xdr:xfrm>
        <a:off x="4371975" y="4133850"/>
        <a:ext cx="3381375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38</xdr:row>
      <xdr:rowOff>47625</xdr:rowOff>
    </xdr:from>
    <xdr:to>
      <xdr:col>12</xdr:col>
      <xdr:colOff>504825</xdr:colOff>
      <xdr:row>51</xdr:row>
      <xdr:rowOff>152400</xdr:rowOff>
    </xdr:to>
    <xdr:graphicFrame>
      <xdr:nvGraphicFramePr>
        <xdr:cNvPr id="3" name="Chart 3"/>
        <xdr:cNvGraphicFramePr/>
      </xdr:nvGraphicFramePr>
      <xdr:xfrm>
        <a:off x="4457700" y="6200775"/>
        <a:ext cx="3438525" cy="2209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52</xdr:row>
      <xdr:rowOff>19050</xdr:rowOff>
    </xdr:from>
    <xdr:to>
      <xdr:col>12</xdr:col>
      <xdr:colOff>552450</xdr:colOff>
      <xdr:row>65</xdr:row>
      <xdr:rowOff>104775</xdr:rowOff>
    </xdr:to>
    <xdr:graphicFrame>
      <xdr:nvGraphicFramePr>
        <xdr:cNvPr id="4" name="Chart 4"/>
        <xdr:cNvGraphicFramePr/>
      </xdr:nvGraphicFramePr>
      <xdr:xfrm>
        <a:off x="4362450" y="8439150"/>
        <a:ext cx="3581400" cy="2190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66675</xdr:colOff>
      <xdr:row>83</xdr:row>
      <xdr:rowOff>9525</xdr:rowOff>
    </xdr:from>
    <xdr:to>
      <xdr:col>12</xdr:col>
      <xdr:colOff>428625</xdr:colOff>
      <xdr:row>96</xdr:row>
      <xdr:rowOff>57150</xdr:rowOff>
    </xdr:to>
    <xdr:graphicFrame>
      <xdr:nvGraphicFramePr>
        <xdr:cNvPr id="5" name="Chart 5"/>
        <xdr:cNvGraphicFramePr/>
      </xdr:nvGraphicFramePr>
      <xdr:xfrm>
        <a:off x="4410075" y="13449300"/>
        <a:ext cx="3409950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95250</xdr:colOff>
      <xdr:row>68</xdr:row>
      <xdr:rowOff>47625</xdr:rowOff>
    </xdr:from>
    <xdr:to>
      <xdr:col>12</xdr:col>
      <xdr:colOff>314325</xdr:colOff>
      <xdr:row>82</xdr:row>
      <xdr:rowOff>28575</xdr:rowOff>
    </xdr:to>
    <xdr:graphicFrame>
      <xdr:nvGraphicFramePr>
        <xdr:cNvPr id="6" name="Chart 6"/>
        <xdr:cNvGraphicFramePr/>
      </xdr:nvGraphicFramePr>
      <xdr:xfrm>
        <a:off x="4438650" y="11058525"/>
        <a:ext cx="3267075" cy="2247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133350</xdr:colOff>
      <xdr:row>97</xdr:row>
      <xdr:rowOff>95250</xdr:rowOff>
    </xdr:from>
    <xdr:to>
      <xdr:col>12</xdr:col>
      <xdr:colOff>523875</xdr:colOff>
      <xdr:row>111</xdr:row>
      <xdr:rowOff>47625</xdr:rowOff>
    </xdr:to>
    <xdr:graphicFrame>
      <xdr:nvGraphicFramePr>
        <xdr:cNvPr id="7" name="Chart 7"/>
        <xdr:cNvGraphicFramePr/>
      </xdr:nvGraphicFramePr>
      <xdr:xfrm>
        <a:off x="4476750" y="15801975"/>
        <a:ext cx="3438525" cy="2219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257175</xdr:colOff>
      <xdr:row>111</xdr:row>
      <xdr:rowOff>95250</xdr:rowOff>
    </xdr:from>
    <xdr:to>
      <xdr:col>12</xdr:col>
      <xdr:colOff>419100</xdr:colOff>
      <xdr:row>124</xdr:row>
      <xdr:rowOff>133350</xdr:rowOff>
    </xdr:to>
    <xdr:graphicFrame>
      <xdr:nvGraphicFramePr>
        <xdr:cNvPr id="8" name="Chart 8"/>
        <xdr:cNvGraphicFramePr/>
      </xdr:nvGraphicFramePr>
      <xdr:xfrm>
        <a:off x="4600575" y="18068925"/>
        <a:ext cx="3209925" cy="2143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133350</xdr:colOff>
      <xdr:row>125</xdr:row>
      <xdr:rowOff>38100</xdr:rowOff>
    </xdr:from>
    <xdr:to>
      <xdr:col>12</xdr:col>
      <xdr:colOff>438150</xdr:colOff>
      <xdr:row>139</xdr:row>
      <xdr:rowOff>76200</xdr:rowOff>
    </xdr:to>
    <xdr:graphicFrame>
      <xdr:nvGraphicFramePr>
        <xdr:cNvPr id="9" name="Chart 9"/>
        <xdr:cNvGraphicFramePr/>
      </xdr:nvGraphicFramePr>
      <xdr:xfrm>
        <a:off x="4476750" y="20278725"/>
        <a:ext cx="3352800" cy="2305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190500</xdr:colOff>
      <xdr:row>154</xdr:row>
      <xdr:rowOff>47625</xdr:rowOff>
    </xdr:from>
    <xdr:to>
      <xdr:col>12</xdr:col>
      <xdr:colOff>400050</xdr:colOff>
      <xdr:row>167</xdr:row>
      <xdr:rowOff>114300</xdr:rowOff>
    </xdr:to>
    <xdr:graphicFrame>
      <xdr:nvGraphicFramePr>
        <xdr:cNvPr id="10" name="Chart 10"/>
        <xdr:cNvGraphicFramePr/>
      </xdr:nvGraphicFramePr>
      <xdr:xfrm>
        <a:off x="4533900" y="24984075"/>
        <a:ext cx="3257550" cy="2171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28575</xdr:colOff>
      <xdr:row>140</xdr:row>
      <xdr:rowOff>152400</xdr:rowOff>
    </xdr:from>
    <xdr:to>
      <xdr:col>12</xdr:col>
      <xdr:colOff>323850</xdr:colOff>
      <xdr:row>154</xdr:row>
      <xdr:rowOff>47625</xdr:rowOff>
    </xdr:to>
    <xdr:graphicFrame>
      <xdr:nvGraphicFramePr>
        <xdr:cNvPr id="11" name="Chart 11"/>
        <xdr:cNvGraphicFramePr/>
      </xdr:nvGraphicFramePr>
      <xdr:xfrm>
        <a:off x="4371975" y="22821900"/>
        <a:ext cx="3343275" cy="2162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25</xdr:row>
      <xdr:rowOff>47625</xdr:rowOff>
    </xdr:from>
    <xdr:to>
      <xdr:col>12</xdr:col>
      <xdr:colOff>371475</xdr:colOff>
      <xdr:row>38</xdr:row>
      <xdr:rowOff>0</xdr:rowOff>
    </xdr:to>
    <xdr:graphicFrame>
      <xdr:nvGraphicFramePr>
        <xdr:cNvPr id="1" name="Chart 12"/>
        <xdr:cNvGraphicFramePr/>
      </xdr:nvGraphicFramePr>
      <xdr:xfrm>
        <a:off x="4410075" y="4095750"/>
        <a:ext cx="33528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</xdr:colOff>
      <xdr:row>5</xdr:row>
      <xdr:rowOff>19050</xdr:rowOff>
    </xdr:from>
    <xdr:to>
      <xdr:col>11</xdr:col>
      <xdr:colOff>514350</xdr:colOff>
      <xdr:row>16</xdr:row>
      <xdr:rowOff>28575</xdr:rowOff>
    </xdr:to>
    <xdr:graphicFrame>
      <xdr:nvGraphicFramePr>
        <xdr:cNvPr id="2" name="Chart 13"/>
        <xdr:cNvGraphicFramePr/>
      </xdr:nvGraphicFramePr>
      <xdr:xfrm>
        <a:off x="4391025" y="828675"/>
        <a:ext cx="2905125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152400</xdr:colOff>
      <xdr:row>37</xdr:row>
      <xdr:rowOff>85725</xdr:rowOff>
    </xdr:from>
    <xdr:to>
      <xdr:col>12</xdr:col>
      <xdr:colOff>285750</xdr:colOff>
      <xdr:row>50</xdr:row>
      <xdr:rowOff>114300</xdr:rowOff>
    </xdr:to>
    <xdr:graphicFrame>
      <xdr:nvGraphicFramePr>
        <xdr:cNvPr id="3" name="Chart 14"/>
        <xdr:cNvGraphicFramePr/>
      </xdr:nvGraphicFramePr>
      <xdr:xfrm>
        <a:off x="4495800" y="6076950"/>
        <a:ext cx="3181350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76200</xdr:colOff>
      <xdr:row>15</xdr:row>
      <xdr:rowOff>19050</xdr:rowOff>
    </xdr:from>
    <xdr:to>
      <xdr:col>12</xdr:col>
      <xdr:colOff>314325</xdr:colOff>
      <xdr:row>25</xdr:row>
      <xdr:rowOff>133350</xdr:rowOff>
    </xdr:to>
    <xdr:graphicFrame>
      <xdr:nvGraphicFramePr>
        <xdr:cNvPr id="4" name="Chart 15"/>
        <xdr:cNvGraphicFramePr/>
      </xdr:nvGraphicFramePr>
      <xdr:xfrm>
        <a:off x="4419600" y="2447925"/>
        <a:ext cx="3286125" cy="1733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28575</xdr:colOff>
      <xdr:row>97</xdr:row>
      <xdr:rowOff>66675</xdr:rowOff>
    </xdr:from>
    <xdr:to>
      <xdr:col>12</xdr:col>
      <xdr:colOff>552450</xdr:colOff>
      <xdr:row>110</xdr:row>
      <xdr:rowOff>85725</xdr:rowOff>
    </xdr:to>
    <xdr:graphicFrame>
      <xdr:nvGraphicFramePr>
        <xdr:cNvPr id="5" name="Chart 16"/>
        <xdr:cNvGraphicFramePr/>
      </xdr:nvGraphicFramePr>
      <xdr:xfrm>
        <a:off x="4371975" y="15773400"/>
        <a:ext cx="3571875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209550</xdr:colOff>
      <xdr:row>81</xdr:row>
      <xdr:rowOff>38100</xdr:rowOff>
    </xdr:from>
    <xdr:to>
      <xdr:col>12</xdr:col>
      <xdr:colOff>571500</xdr:colOff>
      <xdr:row>94</xdr:row>
      <xdr:rowOff>114300</xdr:rowOff>
    </xdr:to>
    <xdr:graphicFrame>
      <xdr:nvGraphicFramePr>
        <xdr:cNvPr id="6" name="Chart 17"/>
        <xdr:cNvGraphicFramePr/>
      </xdr:nvGraphicFramePr>
      <xdr:xfrm>
        <a:off x="4552950" y="13154025"/>
        <a:ext cx="3409950" cy="2181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76200</xdr:colOff>
      <xdr:row>65</xdr:row>
      <xdr:rowOff>38100</xdr:rowOff>
    </xdr:from>
    <xdr:to>
      <xdr:col>12</xdr:col>
      <xdr:colOff>552450</xdr:colOff>
      <xdr:row>78</xdr:row>
      <xdr:rowOff>76200</xdr:rowOff>
    </xdr:to>
    <xdr:graphicFrame>
      <xdr:nvGraphicFramePr>
        <xdr:cNvPr id="7" name="Chart 18"/>
        <xdr:cNvGraphicFramePr/>
      </xdr:nvGraphicFramePr>
      <xdr:xfrm>
        <a:off x="4419600" y="10563225"/>
        <a:ext cx="3524250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161925</xdr:colOff>
      <xdr:row>51</xdr:row>
      <xdr:rowOff>133350</xdr:rowOff>
    </xdr:from>
    <xdr:to>
      <xdr:col>12</xdr:col>
      <xdr:colOff>476250</xdr:colOff>
      <xdr:row>64</xdr:row>
      <xdr:rowOff>114300</xdr:rowOff>
    </xdr:to>
    <xdr:graphicFrame>
      <xdr:nvGraphicFramePr>
        <xdr:cNvPr id="8" name="Chart 19"/>
        <xdr:cNvGraphicFramePr/>
      </xdr:nvGraphicFramePr>
      <xdr:xfrm>
        <a:off x="4505325" y="8391525"/>
        <a:ext cx="3362325" cy="2085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15</xdr:col>
      <xdr:colOff>76200</xdr:colOff>
      <xdr:row>3</xdr:row>
      <xdr:rowOff>142875</xdr:rowOff>
    </xdr:from>
    <xdr:to>
      <xdr:col>21</xdr:col>
      <xdr:colOff>600075</xdr:colOff>
      <xdr:row>19</xdr:row>
      <xdr:rowOff>85725</xdr:rowOff>
    </xdr:to>
    <xdr:graphicFrame>
      <xdr:nvGraphicFramePr>
        <xdr:cNvPr id="9" name="Chart 20"/>
        <xdr:cNvGraphicFramePr/>
      </xdr:nvGraphicFramePr>
      <xdr:xfrm>
        <a:off x="9296400" y="628650"/>
        <a:ext cx="4181475" cy="2533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38100</xdr:colOff>
      <xdr:row>144</xdr:row>
      <xdr:rowOff>47625</xdr:rowOff>
    </xdr:from>
    <xdr:to>
      <xdr:col>12</xdr:col>
      <xdr:colOff>447675</xdr:colOff>
      <xdr:row>156</xdr:row>
      <xdr:rowOff>19050</xdr:rowOff>
    </xdr:to>
    <xdr:graphicFrame>
      <xdr:nvGraphicFramePr>
        <xdr:cNvPr id="10" name="Chart 21"/>
        <xdr:cNvGraphicFramePr/>
      </xdr:nvGraphicFramePr>
      <xdr:xfrm>
        <a:off x="4381500" y="23364825"/>
        <a:ext cx="3457575" cy="1914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95250</xdr:colOff>
      <xdr:row>112</xdr:row>
      <xdr:rowOff>114300</xdr:rowOff>
    </xdr:from>
    <xdr:to>
      <xdr:col>12</xdr:col>
      <xdr:colOff>523875</xdr:colOff>
      <xdr:row>126</xdr:row>
      <xdr:rowOff>19050</xdr:rowOff>
    </xdr:to>
    <xdr:graphicFrame>
      <xdr:nvGraphicFramePr>
        <xdr:cNvPr id="11" name="Chart 22"/>
        <xdr:cNvGraphicFramePr/>
      </xdr:nvGraphicFramePr>
      <xdr:xfrm>
        <a:off x="4438650" y="18249900"/>
        <a:ext cx="3476625" cy="2171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133350</xdr:colOff>
      <xdr:row>126</xdr:row>
      <xdr:rowOff>133350</xdr:rowOff>
    </xdr:from>
    <xdr:to>
      <xdr:col>12</xdr:col>
      <xdr:colOff>361950</xdr:colOff>
      <xdr:row>139</xdr:row>
      <xdr:rowOff>133350</xdr:rowOff>
    </xdr:to>
    <xdr:graphicFrame>
      <xdr:nvGraphicFramePr>
        <xdr:cNvPr id="12" name="Chart 23"/>
        <xdr:cNvGraphicFramePr/>
      </xdr:nvGraphicFramePr>
      <xdr:xfrm>
        <a:off x="4476750" y="20535900"/>
        <a:ext cx="3276600" cy="2105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38100</xdr:colOff>
      <xdr:row>157</xdr:row>
      <xdr:rowOff>38100</xdr:rowOff>
    </xdr:from>
    <xdr:to>
      <xdr:col>12</xdr:col>
      <xdr:colOff>381000</xdr:colOff>
      <xdr:row>170</xdr:row>
      <xdr:rowOff>142875</xdr:rowOff>
    </xdr:to>
    <xdr:graphicFrame>
      <xdr:nvGraphicFramePr>
        <xdr:cNvPr id="13" name="Chart 24"/>
        <xdr:cNvGraphicFramePr/>
      </xdr:nvGraphicFramePr>
      <xdr:xfrm>
        <a:off x="4381500" y="25460325"/>
        <a:ext cx="3390900" cy="2209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14</xdr:row>
      <xdr:rowOff>142875</xdr:rowOff>
    </xdr:from>
    <xdr:to>
      <xdr:col>12</xdr:col>
      <xdr:colOff>76200</xdr:colOff>
      <xdr:row>26</xdr:row>
      <xdr:rowOff>57150</xdr:rowOff>
    </xdr:to>
    <xdr:graphicFrame>
      <xdr:nvGraphicFramePr>
        <xdr:cNvPr id="1" name="Chart 14"/>
        <xdr:cNvGraphicFramePr/>
      </xdr:nvGraphicFramePr>
      <xdr:xfrm>
        <a:off x="4505325" y="2409825"/>
        <a:ext cx="29622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</xdr:colOff>
      <xdr:row>96</xdr:row>
      <xdr:rowOff>66675</xdr:rowOff>
    </xdr:from>
    <xdr:to>
      <xdr:col>12</xdr:col>
      <xdr:colOff>552450</xdr:colOff>
      <xdr:row>111</xdr:row>
      <xdr:rowOff>76200</xdr:rowOff>
    </xdr:to>
    <xdr:graphicFrame>
      <xdr:nvGraphicFramePr>
        <xdr:cNvPr id="2" name="Chart 16"/>
        <xdr:cNvGraphicFramePr/>
      </xdr:nvGraphicFramePr>
      <xdr:xfrm>
        <a:off x="4400550" y="15611475"/>
        <a:ext cx="354330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81</xdr:row>
      <xdr:rowOff>142875</xdr:rowOff>
    </xdr:from>
    <xdr:to>
      <xdr:col>12</xdr:col>
      <xdr:colOff>438150</xdr:colOff>
      <xdr:row>96</xdr:row>
      <xdr:rowOff>19050</xdr:rowOff>
    </xdr:to>
    <xdr:graphicFrame>
      <xdr:nvGraphicFramePr>
        <xdr:cNvPr id="3" name="Chart 17"/>
        <xdr:cNvGraphicFramePr/>
      </xdr:nvGraphicFramePr>
      <xdr:xfrm>
        <a:off x="4381500" y="13258800"/>
        <a:ext cx="3448050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590550</xdr:colOff>
      <xdr:row>1</xdr:row>
      <xdr:rowOff>85725</xdr:rowOff>
    </xdr:from>
    <xdr:to>
      <xdr:col>21</xdr:col>
      <xdr:colOff>361950</xdr:colOff>
      <xdr:row>15</xdr:row>
      <xdr:rowOff>47625</xdr:rowOff>
    </xdr:to>
    <xdr:graphicFrame>
      <xdr:nvGraphicFramePr>
        <xdr:cNvPr id="4" name="Chart 18"/>
        <xdr:cNvGraphicFramePr/>
      </xdr:nvGraphicFramePr>
      <xdr:xfrm>
        <a:off x="9810750" y="247650"/>
        <a:ext cx="3429000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28575</xdr:colOff>
      <xdr:row>112</xdr:row>
      <xdr:rowOff>95250</xdr:rowOff>
    </xdr:from>
    <xdr:to>
      <xdr:col>13</xdr:col>
      <xdr:colOff>28575</xdr:colOff>
      <xdr:row>126</xdr:row>
      <xdr:rowOff>95250</xdr:rowOff>
    </xdr:to>
    <xdr:graphicFrame>
      <xdr:nvGraphicFramePr>
        <xdr:cNvPr id="5" name="Chart 19"/>
        <xdr:cNvGraphicFramePr/>
      </xdr:nvGraphicFramePr>
      <xdr:xfrm>
        <a:off x="4371975" y="18230850"/>
        <a:ext cx="365760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133350</xdr:colOff>
      <xdr:row>66</xdr:row>
      <xdr:rowOff>142875</xdr:rowOff>
    </xdr:from>
    <xdr:to>
      <xdr:col>12</xdr:col>
      <xdr:colOff>476250</xdr:colOff>
      <xdr:row>80</xdr:row>
      <xdr:rowOff>19050</xdr:rowOff>
    </xdr:to>
    <xdr:graphicFrame>
      <xdr:nvGraphicFramePr>
        <xdr:cNvPr id="6" name="Chart 20"/>
        <xdr:cNvGraphicFramePr/>
      </xdr:nvGraphicFramePr>
      <xdr:xfrm>
        <a:off x="4476750" y="10829925"/>
        <a:ext cx="3390900" cy="2143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47625</xdr:colOff>
      <xdr:row>39</xdr:row>
      <xdr:rowOff>19050</xdr:rowOff>
    </xdr:from>
    <xdr:to>
      <xdr:col>12</xdr:col>
      <xdr:colOff>257175</xdr:colOff>
      <xdr:row>51</xdr:row>
      <xdr:rowOff>133350</xdr:rowOff>
    </xdr:to>
    <xdr:graphicFrame>
      <xdr:nvGraphicFramePr>
        <xdr:cNvPr id="7" name="Chart 21"/>
        <xdr:cNvGraphicFramePr/>
      </xdr:nvGraphicFramePr>
      <xdr:xfrm>
        <a:off x="4391025" y="6334125"/>
        <a:ext cx="3257550" cy="2057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95250</xdr:colOff>
      <xdr:row>52</xdr:row>
      <xdr:rowOff>9525</xdr:rowOff>
    </xdr:from>
    <xdr:to>
      <xdr:col>12</xdr:col>
      <xdr:colOff>523875</xdr:colOff>
      <xdr:row>65</xdr:row>
      <xdr:rowOff>104775</xdr:rowOff>
    </xdr:to>
    <xdr:graphicFrame>
      <xdr:nvGraphicFramePr>
        <xdr:cNvPr id="8" name="Chart 22"/>
        <xdr:cNvGraphicFramePr/>
      </xdr:nvGraphicFramePr>
      <xdr:xfrm>
        <a:off x="4438650" y="8429625"/>
        <a:ext cx="3476625" cy="2200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38100</xdr:colOff>
      <xdr:row>26</xdr:row>
      <xdr:rowOff>95250</xdr:rowOff>
    </xdr:from>
    <xdr:to>
      <xdr:col>12</xdr:col>
      <xdr:colOff>314325</xdr:colOff>
      <xdr:row>38</xdr:row>
      <xdr:rowOff>114300</xdr:rowOff>
    </xdr:to>
    <xdr:graphicFrame>
      <xdr:nvGraphicFramePr>
        <xdr:cNvPr id="9" name="Chart 23"/>
        <xdr:cNvGraphicFramePr/>
      </xdr:nvGraphicFramePr>
      <xdr:xfrm>
        <a:off x="4381500" y="4305300"/>
        <a:ext cx="3324225" cy="1962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95250</xdr:colOff>
      <xdr:row>126</xdr:row>
      <xdr:rowOff>142875</xdr:rowOff>
    </xdr:from>
    <xdr:to>
      <xdr:col>12</xdr:col>
      <xdr:colOff>552450</xdr:colOff>
      <xdr:row>140</xdr:row>
      <xdr:rowOff>152400</xdr:rowOff>
    </xdr:to>
    <xdr:graphicFrame>
      <xdr:nvGraphicFramePr>
        <xdr:cNvPr id="10" name="Chart 24"/>
        <xdr:cNvGraphicFramePr/>
      </xdr:nvGraphicFramePr>
      <xdr:xfrm>
        <a:off x="4438650" y="20545425"/>
        <a:ext cx="3505200" cy="2276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114300</xdr:colOff>
      <xdr:row>141</xdr:row>
      <xdr:rowOff>38100</xdr:rowOff>
    </xdr:from>
    <xdr:to>
      <xdr:col>12</xdr:col>
      <xdr:colOff>476250</xdr:colOff>
      <xdr:row>154</xdr:row>
      <xdr:rowOff>142875</xdr:rowOff>
    </xdr:to>
    <xdr:graphicFrame>
      <xdr:nvGraphicFramePr>
        <xdr:cNvPr id="11" name="Chart 25"/>
        <xdr:cNvGraphicFramePr/>
      </xdr:nvGraphicFramePr>
      <xdr:xfrm>
        <a:off x="4457700" y="22869525"/>
        <a:ext cx="3409950" cy="2209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66675</xdr:colOff>
      <xdr:row>155</xdr:row>
      <xdr:rowOff>28575</xdr:rowOff>
    </xdr:from>
    <xdr:to>
      <xdr:col>12</xdr:col>
      <xdr:colOff>552450</xdr:colOff>
      <xdr:row>168</xdr:row>
      <xdr:rowOff>152400</xdr:rowOff>
    </xdr:to>
    <xdr:graphicFrame>
      <xdr:nvGraphicFramePr>
        <xdr:cNvPr id="12" name="Chart 26"/>
        <xdr:cNvGraphicFramePr/>
      </xdr:nvGraphicFramePr>
      <xdr:xfrm>
        <a:off x="4410075" y="25126950"/>
        <a:ext cx="3533775" cy="2228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15</xdr:col>
      <xdr:colOff>552450</xdr:colOff>
      <xdr:row>9</xdr:row>
      <xdr:rowOff>142875</xdr:rowOff>
    </xdr:from>
    <xdr:to>
      <xdr:col>21</xdr:col>
      <xdr:colOff>333375</xdr:colOff>
      <xdr:row>23</xdr:row>
      <xdr:rowOff>114300</xdr:rowOff>
    </xdr:to>
    <xdr:graphicFrame>
      <xdr:nvGraphicFramePr>
        <xdr:cNvPr id="13" name="Chart 28"/>
        <xdr:cNvGraphicFramePr/>
      </xdr:nvGraphicFramePr>
      <xdr:xfrm>
        <a:off x="9772650" y="1600200"/>
        <a:ext cx="3438525" cy="22383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590550</xdr:colOff>
      <xdr:row>1</xdr:row>
      <xdr:rowOff>85725</xdr:rowOff>
    </xdr:from>
    <xdr:to>
      <xdr:col>22</xdr:col>
      <xdr:colOff>504825</xdr:colOff>
      <xdr:row>16</xdr:row>
      <xdr:rowOff>114300</xdr:rowOff>
    </xdr:to>
    <xdr:graphicFrame>
      <xdr:nvGraphicFramePr>
        <xdr:cNvPr id="1" name="Chart 4"/>
        <xdr:cNvGraphicFramePr/>
      </xdr:nvGraphicFramePr>
      <xdr:xfrm>
        <a:off x="9810750" y="247650"/>
        <a:ext cx="41814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</xdr:colOff>
      <xdr:row>15</xdr:row>
      <xdr:rowOff>0</xdr:rowOff>
    </xdr:from>
    <xdr:to>
      <xdr:col>12</xdr:col>
      <xdr:colOff>533400</xdr:colOff>
      <xdr:row>27</xdr:row>
      <xdr:rowOff>19050</xdr:rowOff>
    </xdr:to>
    <xdr:graphicFrame>
      <xdr:nvGraphicFramePr>
        <xdr:cNvPr id="2" name="Chart 13"/>
        <xdr:cNvGraphicFramePr/>
      </xdr:nvGraphicFramePr>
      <xdr:xfrm>
        <a:off x="4391025" y="2428875"/>
        <a:ext cx="3533775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26</xdr:row>
      <xdr:rowOff>57150</xdr:rowOff>
    </xdr:from>
    <xdr:to>
      <xdr:col>12</xdr:col>
      <xdr:colOff>571500</xdr:colOff>
      <xdr:row>40</xdr:row>
      <xdr:rowOff>28575</xdr:rowOff>
    </xdr:to>
    <xdr:graphicFrame>
      <xdr:nvGraphicFramePr>
        <xdr:cNvPr id="3" name="Chart 14"/>
        <xdr:cNvGraphicFramePr/>
      </xdr:nvGraphicFramePr>
      <xdr:xfrm>
        <a:off x="4429125" y="4267200"/>
        <a:ext cx="35337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95250</xdr:colOff>
      <xdr:row>39</xdr:row>
      <xdr:rowOff>114300</xdr:rowOff>
    </xdr:from>
    <xdr:to>
      <xdr:col>12</xdr:col>
      <xdr:colOff>419100</xdr:colOff>
      <xdr:row>52</xdr:row>
      <xdr:rowOff>104775</xdr:rowOff>
    </xdr:to>
    <xdr:graphicFrame>
      <xdr:nvGraphicFramePr>
        <xdr:cNvPr id="4" name="Chart 15"/>
        <xdr:cNvGraphicFramePr/>
      </xdr:nvGraphicFramePr>
      <xdr:xfrm>
        <a:off x="4438650" y="6429375"/>
        <a:ext cx="3371850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171450</xdr:colOff>
      <xdr:row>66</xdr:row>
      <xdr:rowOff>76200</xdr:rowOff>
    </xdr:from>
    <xdr:to>
      <xdr:col>12</xdr:col>
      <xdr:colOff>400050</xdr:colOff>
      <xdr:row>80</xdr:row>
      <xdr:rowOff>76200</xdr:rowOff>
    </xdr:to>
    <xdr:graphicFrame>
      <xdr:nvGraphicFramePr>
        <xdr:cNvPr id="5" name="Chart 16"/>
        <xdr:cNvGraphicFramePr/>
      </xdr:nvGraphicFramePr>
      <xdr:xfrm>
        <a:off x="4514850" y="10763250"/>
        <a:ext cx="327660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104775</xdr:colOff>
      <xdr:row>84</xdr:row>
      <xdr:rowOff>152400</xdr:rowOff>
    </xdr:from>
    <xdr:to>
      <xdr:col>12</xdr:col>
      <xdr:colOff>561975</xdr:colOff>
      <xdr:row>98</xdr:row>
      <xdr:rowOff>19050</xdr:rowOff>
    </xdr:to>
    <xdr:graphicFrame>
      <xdr:nvGraphicFramePr>
        <xdr:cNvPr id="6" name="Chart 17"/>
        <xdr:cNvGraphicFramePr/>
      </xdr:nvGraphicFramePr>
      <xdr:xfrm>
        <a:off x="4448175" y="13754100"/>
        <a:ext cx="3505200" cy="213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38100</xdr:colOff>
      <xdr:row>52</xdr:row>
      <xdr:rowOff>133350</xdr:rowOff>
    </xdr:from>
    <xdr:to>
      <xdr:col>12</xdr:col>
      <xdr:colOff>352425</xdr:colOff>
      <xdr:row>65</xdr:row>
      <xdr:rowOff>85725</xdr:rowOff>
    </xdr:to>
    <xdr:graphicFrame>
      <xdr:nvGraphicFramePr>
        <xdr:cNvPr id="7" name="Chart 18"/>
        <xdr:cNvGraphicFramePr/>
      </xdr:nvGraphicFramePr>
      <xdr:xfrm>
        <a:off x="4381500" y="8553450"/>
        <a:ext cx="3362325" cy="2057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152400</xdr:colOff>
      <xdr:row>113</xdr:row>
      <xdr:rowOff>19050</xdr:rowOff>
    </xdr:from>
    <xdr:to>
      <xdr:col>12</xdr:col>
      <xdr:colOff>504825</xdr:colOff>
      <xdr:row>126</xdr:row>
      <xdr:rowOff>38100</xdr:rowOff>
    </xdr:to>
    <xdr:graphicFrame>
      <xdr:nvGraphicFramePr>
        <xdr:cNvPr id="8" name="Chart 19"/>
        <xdr:cNvGraphicFramePr/>
      </xdr:nvGraphicFramePr>
      <xdr:xfrm>
        <a:off x="4495800" y="18316575"/>
        <a:ext cx="3400425" cy="2124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104775</xdr:colOff>
      <xdr:row>97</xdr:row>
      <xdr:rowOff>133350</xdr:rowOff>
    </xdr:from>
    <xdr:to>
      <xdr:col>12</xdr:col>
      <xdr:colOff>247650</xdr:colOff>
      <xdr:row>110</xdr:row>
      <xdr:rowOff>142875</xdr:rowOff>
    </xdr:to>
    <xdr:graphicFrame>
      <xdr:nvGraphicFramePr>
        <xdr:cNvPr id="9" name="Chart 20"/>
        <xdr:cNvGraphicFramePr/>
      </xdr:nvGraphicFramePr>
      <xdr:xfrm>
        <a:off x="4448175" y="15840075"/>
        <a:ext cx="3190875" cy="2114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209550</xdr:colOff>
      <xdr:row>127</xdr:row>
      <xdr:rowOff>95250</xdr:rowOff>
    </xdr:from>
    <xdr:to>
      <xdr:col>12</xdr:col>
      <xdr:colOff>257175</xdr:colOff>
      <xdr:row>141</xdr:row>
      <xdr:rowOff>85725</xdr:rowOff>
    </xdr:to>
    <xdr:graphicFrame>
      <xdr:nvGraphicFramePr>
        <xdr:cNvPr id="10" name="Chart 21"/>
        <xdr:cNvGraphicFramePr/>
      </xdr:nvGraphicFramePr>
      <xdr:xfrm>
        <a:off x="4552950" y="20659725"/>
        <a:ext cx="3095625" cy="2257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247650</xdr:colOff>
      <xdr:row>142</xdr:row>
      <xdr:rowOff>142875</xdr:rowOff>
    </xdr:from>
    <xdr:to>
      <xdr:col>12</xdr:col>
      <xdr:colOff>390525</xdr:colOff>
      <xdr:row>155</xdr:row>
      <xdr:rowOff>57150</xdr:rowOff>
    </xdr:to>
    <xdr:graphicFrame>
      <xdr:nvGraphicFramePr>
        <xdr:cNvPr id="11" name="Chart 22"/>
        <xdr:cNvGraphicFramePr/>
      </xdr:nvGraphicFramePr>
      <xdr:xfrm>
        <a:off x="4591050" y="23136225"/>
        <a:ext cx="3190875" cy="2019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133350</xdr:colOff>
      <xdr:row>156</xdr:row>
      <xdr:rowOff>104775</xdr:rowOff>
    </xdr:from>
    <xdr:to>
      <xdr:col>12</xdr:col>
      <xdr:colOff>466725</xdr:colOff>
      <xdr:row>169</xdr:row>
      <xdr:rowOff>38100</xdr:rowOff>
    </xdr:to>
    <xdr:graphicFrame>
      <xdr:nvGraphicFramePr>
        <xdr:cNvPr id="12" name="Chart 23"/>
        <xdr:cNvGraphicFramePr/>
      </xdr:nvGraphicFramePr>
      <xdr:xfrm>
        <a:off x="4476750" y="25365075"/>
        <a:ext cx="3381375" cy="2038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590550</xdr:colOff>
      <xdr:row>1</xdr:row>
      <xdr:rowOff>85725</xdr:rowOff>
    </xdr:from>
    <xdr:to>
      <xdr:col>22</xdr:col>
      <xdr:colOff>504825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9810750" y="247650"/>
        <a:ext cx="41814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38</xdr:row>
      <xdr:rowOff>28575</xdr:rowOff>
    </xdr:from>
    <xdr:to>
      <xdr:col>12</xdr:col>
      <xdr:colOff>457200</xdr:colOff>
      <xdr:row>50</xdr:row>
      <xdr:rowOff>47625</xdr:rowOff>
    </xdr:to>
    <xdr:graphicFrame>
      <xdr:nvGraphicFramePr>
        <xdr:cNvPr id="2" name="Chart 13"/>
        <xdr:cNvGraphicFramePr/>
      </xdr:nvGraphicFramePr>
      <xdr:xfrm>
        <a:off x="4371975" y="6181725"/>
        <a:ext cx="3476625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590550</xdr:colOff>
      <xdr:row>27</xdr:row>
      <xdr:rowOff>28575</xdr:rowOff>
    </xdr:from>
    <xdr:to>
      <xdr:col>12</xdr:col>
      <xdr:colOff>304800</xdr:colOff>
      <xdr:row>38</xdr:row>
      <xdr:rowOff>114300</xdr:rowOff>
    </xdr:to>
    <xdr:graphicFrame>
      <xdr:nvGraphicFramePr>
        <xdr:cNvPr id="3" name="Chart 14"/>
        <xdr:cNvGraphicFramePr/>
      </xdr:nvGraphicFramePr>
      <xdr:xfrm>
        <a:off x="4324350" y="4400550"/>
        <a:ext cx="3371850" cy="1866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76200</xdr:colOff>
      <xdr:row>52</xdr:row>
      <xdr:rowOff>123825</xdr:rowOff>
    </xdr:from>
    <xdr:to>
      <xdr:col>12</xdr:col>
      <xdr:colOff>400050</xdr:colOff>
      <xdr:row>65</xdr:row>
      <xdr:rowOff>47625</xdr:rowOff>
    </xdr:to>
    <xdr:graphicFrame>
      <xdr:nvGraphicFramePr>
        <xdr:cNvPr id="4" name="Chart 15"/>
        <xdr:cNvGraphicFramePr/>
      </xdr:nvGraphicFramePr>
      <xdr:xfrm>
        <a:off x="4419600" y="8543925"/>
        <a:ext cx="3371850" cy="2028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123825</xdr:colOff>
      <xdr:row>14</xdr:row>
      <xdr:rowOff>104775</xdr:rowOff>
    </xdr:from>
    <xdr:to>
      <xdr:col>12</xdr:col>
      <xdr:colOff>352425</xdr:colOff>
      <xdr:row>26</xdr:row>
      <xdr:rowOff>66675</xdr:rowOff>
    </xdr:to>
    <xdr:graphicFrame>
      <xdr:nvGraphicFramePr>
        <xdr:cNvPr id="5" name="Chart 16"/>
        <xdr:cNvGraphicFramePr/>
      </xdr:nvGraphicFramePr>
      <xdr:xfrm>
        <a:off x="4467225" y="2371725"/>
        <a:ext cx="3276600" cy="1905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19050</xdr:colOff>
      <xdr:row>3</xdr:row>
      <xdr:rowOff>142875</xdr:rowOff>
    </xdr:from>
    <xdr:to>
      <xdr:col>11</xdr:col>
      <xdr:colOff>476250</xdr:colOff>
      <xdr:row>15</xdr:row>
      <xdr:rowOff>57150</xdr:rowOff>
    </xdr:to>
    <xdr:graphicFrame>
      <xdr:nvGraphicFramePr>
        <xdr:cNvPr id="6" name="Chart 17"/>
        <xdr:cNvGraphicFramePr/>
      </xdr:nvGraphicFramePr>
      <xdr:xfrm>
        <a:off x="4362450" y="628650"/>
        <a:ext cx="2895600" cy="1857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57150</xdr:colOff>
      <xdr:row>67</xdr:row>
      <xdr:rowOff>47625</xdr:rowOff>
    </xdr:from>
    <xdr:to>
      <xdr:col>12</xdr:col>
      <xdr:colOff>400050</xdr:colOff>
      <xdr:row>80</xdr:row>
      <xdr:rowOff>28575</xdr:rowOff>
    </xdr:to>
    <xdr:graphicFrame>
      <xdr:nvGraphicFramePr>
        <xdr:cNvPr id="7" name="Chart 18"/>
        <xdr:cNvGraphicFramePr/>
      </xdr:nvGraphicFramePr>
      <xdr:xfrm>
        <a:off x="4400550" y="10896600"/>
        <a:ext cx="3390900" cy="2085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19050</xdr:colOff>
      <xdr:row>83</xdr:row>
      <xdr:rowOff>114300</xdr:rowOff>
    </xdr:from>
    <xdr:to>
      <xdr:col>12</xdr:col>
      <xdr:colOff>352425</xdr:colOff>
      <xdr:row>95</xdr:row>
      <xdr:rowOff>9525</xdr:rowOff>
    </xdr:to>
    <xdr:graphicFrame>
      <xdr:nvGraphicFramePr>
        <xdr:cNvPr id="8" name="Chart 19"/>
        <xdr:cNvGraphicFramePr/>
      </xdr:nvGraphicFramePr>
      <xdr:xfrm>
        <a:off x="4362450" y="13554075"/>
        <a:ext cx="3381375" cy="1838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171450</xdr:colOff>
      <xdr:row>96</xdr:row>
      <xdr:rowOff>85725</xdr:rowOff>
    </xdr:from>
    <xdr:to>
      <xdr:col>12</xdr:col>
      <xdr:colOff>390525</xdr:colOff>
      <xdr:row>108</xdr:row>
      <xdr:rowOff>142875</xdr:rowOff>
    </xdr:to>
    <xdr:graphicFrame>
      <xdr:nvGraphicFramePr>
        <xdr:cNvPr id="9" name="Chart 20"/>
        <xdr:cNvGraphicFramePr/>
      </xdr:nvGraphicFramePr>
      <xdr:xfrm>
        <a:off x="4514850" y="15630525"/>
        <a:ext cx="3267075" cy="2000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57150</xdr:colOff>
      <xdr:row>112</xdr:row>
      <xdr:rowOff>152400</xdr:rowOff>
    </xdr:from>
    <xdr:to>
      <xdr:col>12</xdr:col>
      <xdr:colOff>514350</xdr:colOff>
      <xdr:row>125</xdr:row>
      <xdr:rowOff>0</xdr:rowOff>
    </xdr:to>
    <xdr:graphicFrame>
      <xdr:nvGraphicFramePr>
        <xdr:cNvPr id="10" name="Chart 21"/>
        <xdr:cNvGraphicFramePr/>
      </xdr:nvGraphicFramePr>
      <xdr:xfrm>
        <a:off x="4400550" y="18288000"/>
        <a:ext cx="3505200" cy="19526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219075</xdr:colOff>
      <xdr:row>127</xdr:row>
      <xdr:rowOff>47625</xdr:rowOff>
    </xdr:from>
    <xdr:to>
      <xdr:col>12</xdr:col>
      <xdr:colOff>447675</xdr:colOff>
      <xdr:row>139</xdr:row>
      <xdr:rowOff>66675</xdr:rowOff>
    </xdr:to>
    <xdr:graphicFrame>
      <xdr:nvGraphicFramePr>
        <xdr:cNvPr id="11" name="Chart 22"/>
        <xdr:cNvGraphicFramePr/>
      </xdr:nvGraphicFramePr>
      <xdr:xfrm>
        <a:off x="4562475" y="20612100"/>
        <a:ext cx="3276600" cy="19621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295275</xdr:colOff>
      <xdr:row>142</xdr:row>
      <xdr:rowOff>95250</xdr:rowOff>
    </xdr:from>
    <xdr:to>
      <xdr:col>12</xdr:col>
      <xdr:colOff>561975</xdr:colOff>
      <xdr:row>155</xdr:row>
      <xdr:rowOff>104775</xdr:rowOff>
    </xdr:to>
    <xdr:graphicFrame>
      <xdr:nvGraphicFramePr>
        <xdr:cNvPr id="12" name="Chart 23"/>
        <xdr:cNvGraphicFramePr/>
      </xdr:nvGraphicFramePr>
      <xdr:xfrm>
        <a:off x="4638675" y="23088600"/>
        <a:ext cx="3314700" cy="2114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171450</xdr:colOff>
      <xdr:row>155</xdr:row>
      <xdr:rowOff>142875</xdr:rowOff>
    </xdr:from>
    <xdr:to>
      <xdr:col>12</xdr:col>
      <xdr:colOff>571500</xdr:colOff>
      <xdr:row>168</xdr:row>
      <xdr:rowOff>142875</xdr:rowOff>
    </xdr:to>
    <xdr:graphicFrame>
      <xdr:nvGraphicFramePr>
        <xdr:cNvPr id="13" name="Chart 24"/>
        <xdr:cNvGraphicFramePr/>
      </xdr:nvGraphicFramePr>
      <xdr:xfrm>
        <a:off x="4514850" y="25241250"/>
        <a:ext cx="3448050" cy="21050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4">
      <selection activeCell="G24" sqref="G24"/>
    </sheetView>
  </sheetViews>
  <sheetFormatPr defaultColWidth="9.140625" defaultRowHeight="12.75"/>
  <sheetData>
    <row r="1" spans="1:5" ht="12.75">
      <c r="A1" t="s">
        <v>16</v>
      </c>
      <c r="E1" t="s">
        <v>52</v>
      </c>
    </row>
    <row r="2" spans="1:7" ht="12.75">
      <c r="A2" t="str">
        <f>'pre-anneal'!L1</f>
        <v>Voltage </v>
      </c>
      <c r="B2" t="str">
        <f>'pre-anneal'!M1</f>
        <v>eff at 1fC</v>
      </c>
      <c r="C2" t="str">
        <f>'pre-anneal'!N1</f>
        <v>med Q</v>
      </c>
      <c r="E2" t="str">
        <f>'80min anneal'!L1</f>
        <v>Voltage </v>
      </c>
      <c r="F2" t="str">
        <f>'80min anneal'!M1</f>
        <v>eff at 1fC</v>
      </c>
      <c r="G2" t="str">
        <f>'80min anneal'!N1</f>
        <v>med Q</v>
      </c>
    </row>
    <row r="3" spans="1:7" ht="12.75">
      <c r="A3">
        <f>'pre-anneal'!L2</f>
        <v>20</v>
      </c>
      <c r="B3">
        <f>'pre-anneal'!M2</f>
        <v>0.29760604347826086</v>
      </c>
      <c r="C3">
        <f>'pre-anneal'!N2</f>
        <v>0</v>
      </c>
      <c r="E3">
        <f>'80min anneal'!L2</f>
        <v>20</v>
      </c>
      <c r="F3">
        <f>'80min anneal'!M2</f>
        <v>0.3417085427135678</v>
      </c>
      <c r="G3">
        <f>'80min anneal'!N2</f>
        <v>0</v>
      </c>
    </row>
    <row r="4" spans="1:7" ht="12.75">
      <c r="A4">
        <f>'pre-anneal'!L3</f>
        <v>30</v>
      </c>
      <c r="B4">
        <f>'pre-anneal'!M3</f>
        <v>0.5491485813333333</v>
      </c>
      <c r="C4">
        <f>'pre-anneal'!N3</f>
        <v>1.06</v>
      </c>
      <c r="E4">
        <f>'80min anneal'!L3</f>
        <v>30</v>
      </c>
      <c r="F4">
        <f>'80min anneal'!M3</f>
        <v>0.5709908069458631</v>
      </c>
      <c r="G4">
        <f>'80min anneal'!N3</f>
        <v>1.07</v>
      </c>
    </row>
    <row r="5" spans="1:7" ht="12.75">
      <c r="A5">
        <f>'pre-anneal'!L4</f>
        <v>40</v>
      </c>
      <c r="B5">
        <f>'pre-anneal'!M4</f>
        <v>0.6824999999999997</v>
      </c>
      <c r="C5">
        <f>'pre-anneal'!N4</f>
        <v>1.28</v>
      </c>
      <c r="E5">
        <f>'80min anneal'!L4</f>
        <v>40</v>
      </c>
      <c r="F5">
        <f>'80min anneal'!M4</f>
        <v>0.6903787103377687</v>
      </c>
      <c r="G5">
        <f>'80min anneal'!N4</f>
        <v>1.32</v>
      </c>
    </row>
    <row r="6" spans="1:7" ht="12.75">
      <c r="A6">
        <f>'pre-anneal'!L5</f>
        <v>60</v>
      </c>
      <c r="B6">
        <f>'pre-anneal'!M5</f>
        <v>0.7753148648345485</v>
      </c>
      <c r="C6">
        <f>'pre-anneal'!N5</f>
        <v>1.66</v>
      </c>
      <c r="E6">
        <f>'80min anneal'!L5</f>
        <v>60</v>
      </c>
      <c r="F6">
        <f>'80min anneal'!M5</f>
        <v>0.7906626506024096</v>
      </c>
      <c r="G6">
        <f>'80min anneal'!N5</f>
        <v>1.6500000000000001</v>
      </c>
    </row>
    <row r="7" spans="1:7" ht="12.75">
      <c r="A7">
        <f>'pre-anneal'!L6</f>
        <v>80</v>
      </c>
      <c r="B7">
        <f>'pre-anneal'!M6</f>
        <v>0.8116965572305973</v>
      </c>
      <c r="C7">
        <f>'pre-anneal'!N6</f>
        <v>1.86</v>
      </c>
      <c r="E7">
        <f>'80min anneal'!L6</f>
        <v>80</v>
      </c>
      <c r="F7">
        <f>'80min anneal'!M6</f>
        <v>0.7909715407262021</v>
      </c>
      <c r="G7">
        <f>'80min anneal'!N6</f>
        <v>1.8800000000000001</v>
      </c>
    </row>
    <row r="8" spans="1:7" ht="12.75">
      <c r="A8">
        <f>'pre-anneal'!L7</f>
        <v>100</v>
      </c>
      <c r="B8">
        <f>'pre-anneal'!M7</f>
        <v>0.7900948137092315</v>
      </c>
      <c r="C8">
        <f>'pre-anneal'!N7</f>
        <v>2.03</v>
      </c>
      <c r="E8">
        <f>'80min anneal'!L7</f>
        <v>100</v>
      </c>
      <c r="F8">
        <f>'80min anneal'!M7</f>
        <v>0.8094742321707444</v>
      </c>
      <c r="G8">
        <f>'80min anneal'!N7</f>
        <v>2.01</v>
      </c>
    </row>
    <row r="9" spans="1:7" ht="12.75">
      <c r="A9">
        <f>'pre-anneal'!L8</f>
        <v>150</v>
      </c>
      <c r="B9">
        <f>'pre-anneal'!M8</f>
        <v>0.7940186122917863</v>
      </c>
      <c r="C9">
        <f>'pre-anneal'!N8</f>
        <v>2.24</v>
      </c>
      <c r="E9">
        <f>'80min anneal'!L8</f>
        <v>150</v>
      </c>
      <c r="F9">
        <f>'80min anneal'!M8</f>
        <v>0.8046836073741903</v>
      </c>
      <c r="G9">
        <f>'80min anneal'!N8</f>
        <v>2.199999999999999</v>
      </c>
    </row>
    <row r="10" spans="1:7" ht="12.75">
      <c r="A10">
        <f>'pre-anneal'!L9</f>
        <v>200</v>
      </c>
      <c r="B10">
        <f>'pre-anneal'!M9</f>
        <v>0.804328175389755</v>
      </c>
      <c r="C10">
        <f>'pre-anneal'!N9</f>
        <v>2.37</v>
      </c>
      <c r="E10">
        <f>'80min anneal'!L9</f>
        <v>200</v>
      </c>
      <c r="F10">
        <f>'80min anneal'!M9</f>
        <v>0.8182283666154634</v>
      </c>
      <c r="G10">
        <f>'80min anneal'!N9</f>
        <v>2.3899999999999992</v>
      </c>
    </row>
    <row r="11" spans="1:7" ht="12.75">
      <c r="A11">
        <f>'pre-anneal'!L10</f>
        <v>250</v>
      </c>
      <c r="B11">
        <f>'pre-anneal'!M10</f>
        <v>0</v>
      </c>
      <c r="C11">
        <f>'pre-anneal'!N10</f>
        <v>2.46</v>
      </c>
      <c r="E11">
        <f>'80min anneal'!L10</f>
        <v>250</v>
      </c>
      <c r="F11">
        <f>'80min anneal'!M10</f>
        <v>0.802088772845953</v>
      </c>
      <c r="G11">
        <f>'80min anneal'!N10</f>
        <v>2.46</v>
      </c>
    </row>
    <row r="12" spans="1:7" ht="12.75">
      <c r="A12">
        <f>'pre-anneal'!L11</f>
        <v>300</v>
      </c>
      <c r="B12">
        <f>'pre-anneal'!M11</f>
        <v>0</v>
      </c>
      <c r="C12">
        <f>'pre-anneal'!N11</f>
        <v>2.55</v>
      </c>
      <c r="E12">
        <f>'80min anneal'!L11</f>
        <v>300</v>
      </c>
      <c r="F12">
        <f>'80min anneal'!M11</f>
        <v>0.8024502297090352</v>
      </c>
      <c r="G12">
        <f>'80min anneal'!N11</f>
        <v>2.5599999999999996</v>
      </c>
    </row>
    <row r="13" spans="1:7" ht="12.75">
      <c r="A13">
        <f>'pre-anneal'!L12</f>
        <v>350</v>
      </c>
      <c r="B13">
        <f>'pre-anneal'!M12</f>
        <v>0</v>
      </c>
      <c r="C13">
        <f>'pre-anneal'!N12</f>
        <v>2.61</v>
      </c>
      <c r="E13">
        <f>'80min anneal'!L12</f>
        <v>350</v>
      </c>
      <c r="F13">
        <f>'80min anneal'!M12</f>
        <v>0.7991313789359392</v>
      </c>
      <c r="G13">
        <f>'80min anneal'!N12</f>
        <v>2.5299999999999994</v>
      </c>
    </row>
    <row r="14" spans="1:7" ht="12.75">
      <c r="A14">
        <f>'pre-anneal'!L13</f>
        <v>400</v>
      </c>
      <c r="B14">
        <f>'pre-anneal'!M13</f>
        <v>0</v>
      </c>
      <c r="C14">
        <f>'pre-anneal'!N13</f>
        <v>2.67</v>
      </c>
      <c r="E14">
        <f>'80min anneal'!L13</f>
        <v>400</v>
      </c>
      <c r="F14">
        <f>'80min anneal'!M13</f>
        <v>0.8122724908996359</v>
      </c>
      <c r="G14">
        <f>'80min anneal'!N13</f>
        <v>2.6399999999999992</v>
      </c>
    </row>
    <row r="16" spans="1:5" ht="12.75">
      <c r="A16" t="s">
        <v>41</v>
      </c>
      <c r="E16" t="s">
        <v>58</v>
      </c>
    </row>
    <row r="17" spans="1:7" ht="12.75">
      <c r="A17" t="str">
        <f>'5min anneal'!L1</f>
        <v>Voltage </v>
      </c>
      <c r="B17" t="str">
        <f>'5min anneal'!M1</f>
        <v>eff at 1fC</v>
      </c>
      <c r="C17" t="str">
        <f>'5min anneal'!N1</f>
        <v>med Q</v>
      </c>
      <c r="E17" t="str">
        <f>'200min anneal'!L1</f>
        <v>Voltage </v>
      </c>
      <c r="F17" t="str">
        <f>'200min anneal'!M1</f>
        <v>eff at 1fC</v>
      </c>
      <c r="G17" t="str">
        <f>'200min anneal'!N1</f>
        <v>med Q</v>
      </c>
    </row>
    <row r="18" spans="1:7" ht="12.75">
      <c r="A18">
        <f>'5min anneal'!L2</f>
        <v>20</v>
      </c>
      <c r="B18">
        <f>'5min anneal'!M2</f>
        <v>0.31094028001225316</v>
      </c>
      <c r="C18">
        <f>'5min anneal'!N2</f>
        <v>0</v>
      </c>
      <c r="E18">
        <f>'200min anneal'!L2</f>
        <v>20</v>
      </c>
      <c r="F18">
        <f>'200min anneal'!M2</f>
        <v>0.35120299548872175</v>
      </c>
      <c r="G18">
        <f>'200min anneal'!N2</f>
        <v>0</v>
      </c>
    </row>
    <row r="19" spans="1:7" ht="12.75">
      <c r="A19">
        <f>'5min anneal'!L3</f>
        <v>30</v>
      </c>
      <c r="B19">
        <f>'5min anneal'!M3</f>
        <v>0.5582473830952567</v>
      </c>
      <c r="C19">
        <f>'5min anneal'!N3</f>
        <v>1.08</v>
      </c>
      <c r="E19">
        <f>'200min anneal'!L3</f>
        <v>30</v>
      </c>
      <c r="F19">
        <f>'200min anneal'!M3</f>
        <v>0.6118646398199099</v>
      </c>
      <c r="G19">
        <f>'200min anneal'!N3</f>
        <v>1.16</v>
      </c>
    </row>
    <row r="20" spans="1:7" ht="12.75">
      <c r="A20">
        <f>'5min anneal'!L4</f>
        <v>40</v>
      </c>
      <c r="B20">
        <f>'5min anneal'!M4</f>
        <v>0.7137154100278189</v>
      </c>
      <c r="C20">
        <f>'5min anneal'!N4</f>
        <v>1.33</v>
      </c>
      <c r="E20">
        <f>'200min anneal'!L4</f>
        <v>40</v>
      </c>
      <c r="F20">
        <f>'200min anneal'!M4</f>
        <v>0.7416608546168958</v>
      </c>
      <c r="G20">
        <f>'200min anneal'!N4</f>
        <v>1.37</v>
      </c>
    </row>
    <row r="21" spans="1:7" ht="12.75">
      <c r="A21">
        <f>'5min anneal'!L5</f>
        <v>60</v>
      </c>
      <c r="B21">
        <f>'5min anneal'!M5</f>
        <v>0.8212057629775634</v>
      </c>
      <c r="C21">
        <f>'5min anneal'!N5</f>
        <v>1.67</v>
      </c>
      <c r="E21">
        <f>'200min anneal'!L5</f>
        <v>60</v>
      </c>
      <c r="F21">
        <f>'200min anneal'!M5</f>
        <v>0.7729161432806323</v>
      </c>
      <c r="G21">
        <f>'200min anneal'!N5</f>
        <v>1.66</v>
      </c>
    </row>
    <row r="22" spans="1:7" ht="12.75">
      <c r="A22">
        <f>'5min anneal'!L6</f>
        <v>80</v>
      </c>
      <c r="B22">
        <f>'5min anneal'!M6</f>
        <v>0.8449022366407974</v>
      </c>
      <c r="C22">
        <f>'5min anneal'!N6</f>
        <v>1.9100000000000001</v>
      </c>
      <c r="E22">
        <f>'200min anneal'!L6</f>
        <v>80</v>
      </c>
      <c r="F22">
        <f>'200min anneal'!M6</f>
        <v>0.8230948428211586</v>
      </c>
      <c r="G22">
        <f>'200min anneal'!N6</f>
        <v>1.83</v>
      </c>
    </row>
    <row r="23" spans="1:7" ht="12.75">
      <c r="A23">
        <f>'5min anneal'!L7</f>
        <v>100</v>
      </c>
      <c r="B23">
        <f>'5min anneal'!M7</f>
        <v>0.8237338385857991</v>
      </c>
      <c r="C23">
        <f>'5min anneal'!N7</f>
        <v>2.039999999999999</v>
      </c>
      <c r="E23">
        <f>'200min anneal'!L7</f>
        <v>100</v>
      </c>
      <c r="F23">
        <f>'200min anneal'!M7</f>
        <v>0.81180744345679</v>
      </c>
      <c r="G23">
        <f>'200min anneal'!N7</f>
        <v>2.0199999999999996</v>
      </c>
    </row>
    <row r="24" spans="1:7" ht="12.75">
      <c r="A24">
        <f>'5min anneal'!L8</f>
        <v>150</v>
      </c>
      <c r="B24">
        <f>'5min anneal'!M8</f>
        <v>0.8187554069674289</v>
      </c>
      <c r="C24">
        <f>'5min anneal'!N8</f>
        <v>2.2699999999999987</v>
      </c>
      <c r="E24">
        <f>'200min anneal'!L8</f>
        <v>150</v>
      </c>
      <c r="F24">
        <f>'200min anneal'!M8</f>
        <v>0.8090657987012987</v>
      </c>
      <c r="G24">
        <f>'200min anneal'!N8</f>
        <v>2.2299999999999995</v>
      </c>
    </row>
    <row r="25" spans="1:7" ht="12.75">
      <c r="A25">
        <f>'5min anneal'!L9</f>
        <v>200</v>
      </c>
      <c r="B25">
        <f>'5min anneal'!M9</f>
        <v>0.842559244708363</v>
      </c>
      <c r="C25">
        <f>'5min anneal'!N9</f>
        <v>2.4</v>
      </c>
      <c r="E25">
        <f>'200min anneal'!L9</f>
        <v>200</v>
      </c>
      <c r="F25">
        <f>'200min anneal'!M9</f>
        <v>0.8265601950965049</v>
      </c>
      <c r="G25">
        <f>'200min anneal'!N9</f>
        <v>2.4299999999999993</v>
      </c>
    </row>
    <row r="26" spans="1:7" ht="12.75">
      <c r="A26">
        <f>'5min anneal'!L10</f>
        <v>250</v>
      </c>
      <c r="B26">
        <f>'5min anneal'!M10</f>
        <v>0.8078210191389495</v>
      </c>
      <c r="C26">
        <f>'5min anneal'!N10</f>
        <v>2.4899999999999993</v>
      </c>
      <c r="E26">
        <f>'200min anneal'!L10</f>
        <v>250</v>
      </c>
      <c r="F26">
        <f>'200min anneal'!M10</f>
        <v>0.812574284800787</v>
      </c>
      <c r="G26">
        <f>'200min anneal'!N10</f>
        <v>2.5199999999999996</v>
      </c>
    </row>
    <row r="27" spans="1:7" ht="12.75">
      <c r="A27">
        <f>'5min anneal'!L11</f>
        <v>300</v>
      </c>
      <c r="B27">
        <f>'5min anneal'!M11</f>
        <v>0.833762961801659</v>
      </c>
      <c r="C27">
        <f>'5min anneal'!N11</f>
        <v>2.5199999999999996</v>
      </c>
      <c r="E27">
        <f>'200min anneal'!L11</f>
        <v>300</v>
      </c>
      <c r="F27">
        <f>'200min anneal'!M11</f>
        <v>0.8016822920667003</v>
      </c>
      <c r="G27">
        <f>'200min anneal'!N11</f>
        <v>2.5599999999999987</v>
      </c>
    </row>
    <row r="28" spans="1:7" ht="12.75">
      <c r="A28">
        <f>'5min anneal'!L12</f>
        <v>350</v>
      </c>
      <c r="B28">
        <f>'5min anneal'!M12</f>
        <v>0.8229805317144707</v>
      </c>
      <c r="C28">
        <f>'5min anneal'!N12</f>
        <v>2.5699999999999985</v>
      </c>
      <c r="E28">
        <f>'200min anneal'!L12</f>
        <v>350</v>
      </c>
      <c r="F28">
        <f>'200min anneal'!M12</f>
        <v>0.8095753600764087</v>
      </c>
      <c r="G28">
        <f>'200min anneal'!N12</f>
        <v>2.6699999999999986</v>
      </c>
    </row>
    <row r="29" spans="1:7" ht="12.75">
      <c r="A29">
        <f>'5min anneal'!L13</f>
        <v>400</v>
      </c>
      <c r="B29">
        <f>'5min anneal'!M13</f>
        <v>0.8413181938072447</v>
      </c>
      <c r="C29">
        <f>'5min anneal'!N13</f>
        <v>2.6399999999999992</v>
      </c>
      <c r="E29">
        <f>'200min anneal'!L13</f>
        <v>400</v>
      </c>
      <c r="F29">
        <f>'200min anneal'!M13</f>
        <v>0.8012033908227847</v>
      </c>
      <c r="G29">
        <f>'200min anneal'!N13</f>
        <v>2.659999999999999</v>
      </c>
    </row>
    <row r="31" ht="12.75">
      <c r="A31" t="s">
        <v>49</v>
      </c>
    </row>
    <row r="32" spans="1:3" ht="12.75">
      <c r="A32" t="str">
        <f>'15min anneal'!L1</f>
        <v>Voltage </v>
      </c>
      <c r="B32" t="str">
        <f>'15min anneal'!M1</f>
        <v>eff at 1fC</v>
      </c>
      <c r="C32" t="str">
        <f>'15min anneal'!N1</f>
        <v>med Q</v>
      </c>
    </row>
    <row r="33" spans="1:3" ht="12.75">
      <c r="A33">
        <f>'15min anneal'!L2</f>
        <v>20</v>
      </c>
      <c r="B33">
        <f>'15min anneal'!M2</f>
        <v>0.3153691992413005</v>
      </c>
      <c r="C33">
        <f>'15min anneal'!N2</f>
        <v>0</v>
      </c>
    </row>
    <row r="34" spans="1:3" ht="12.75">
      <c r="A34">
        <f>'15min anneal'!L3</f>
        <v>30</v>
      </c>
      <c r="B34">
        <f>'15min anneal'!M3</f>
        <v>0.6109317145051832</v>
      </c>
      <c r="C34">
        <f>'15min anneal'!N3</f>
        <v>1.12</v>
      </c>
    </row>
    <row r="35" spans="1:3" ht="12.75">
      <c r="A35">
        <f>'15min anneal'!L4</f>
        <v>40</v>
      </c>
      <c r="B35">
        <f>'15min anneal'!M4</f>
        <v>0.6879556656102277</v>
      </c>
      <c r="C35">
        <f>'15min anneal'!N4</f>
        <v>1.33</v>
      </c>
    </row>
    <row r="36" spans="1:3" ht="12.75">
      <c r="A36">
        <f>'15min anneal'!L5</f>
        <v>50</v>
      </c>
      <c r="B36">
        <f>'15min anneal'!M5</f>
        <v>0.7503393935397769</v>
      </c>
      <c r="C36">
        <f>'15min anneal'!N5</f>
        <v>1.52</v>
      </c>
    </row>
    <row r="37" spans="1:3" ht="12.75">
      <c r="A37">
        <f>'15min anneal'!L6</f>
        <v>80</v>
      </c>
      <c r="B37">
        <f>'15min anneal'!M6</f>
        <v>0.7955868147720958</v>
      </c>
      <c r="C37">
        <f>'15min anneal'!N6</f>
        <v>1.92</v>
      </c>
    </row>
    <row r="38" spans="1:3" ht="12.75">
      <c r="A38">
        <f>'15min anneal'!L7</f>
        <v>100</v>
      </c>
      <c r="B38">
        <f>'15min anneal'!M7</f>
        <v>0.8142473392224876</v>
      </c>
      <c r="C38">
        <f>'15min anneal'!N7</f>
        <v>2.049999999999999</v>
      </c>
    </row>
    <row r="39" spans="1:3" ht="12.75">
      <c r="A39">
        <f>'15min anneal'!L8</f>
        <v>150</v>
      </c>
      <c r="B39">
        <f>'15min anneal'!M8</f>
        <v>0.8110505272771141</v>
      </c>
      <c r="C39">
        <f>'15min anneal'!N8</f>
        <v>2.299999999999999</v>
      </c>
    </row>
    <row r="40" spans="1:3" ht="12.75">
      <c r="A40">
        <f>'15min anneal'!L9</f>
        <v>200</v>
      </c>
      <c r="B40">
        <f>'15min anneal'!M9</f>
        <v>0.7789945217379984</v>
      </c>
      <c r="C40">
        <f>'15min anneal'!N9</f>
        <v>2.439999999999999</v>
      </c>
    </row>
    <row r="41" spans="1:3" ht="12.75">
      <c r="A41">
        <f>'15min anneal'!L10</f>
        <v>250</v>
      </c>
      <c r="B41">
        <f>'15min anneal'!M10</f>
        <v>0.8287119222149354</v>
      </c>
      <c r="C41" s="4">
        <f>'15min anneal'!N10</f>
        <v>2.5699999999999985</v>
      </c>
    </row>
    <row r="42" spans="1:3" ht="12.75">
      <c r="A42">
        <f>'15min anneal'!L11</f>
        <v>300</v>
      </c>
      <c r="B42">
        <f>'15min anneal'!M11</f>
        <v>0.8166869662627431</v>
      </c>
      <c r="C42" s="4">
        <f>'15min anneal'!N11</f>
        <v>2.589999999999999</v>
      </c>
    </row>
    <row r="43" spans="1:3" ht="12.75">
      <c r="A43">
        <f>'15min anneal'!L12</f>
        <v>350</v>
      </c>
      <c r="B43">
        <f>'15min anneal'!M12</f>
        <v>0.8095858188172241</v>
      </c>
      <c r="C43" s="4">
        <f>'15min anneal'!N12</f>
        <v>2.749999999999999</v>
      </c>
    </row>
    <row r="44" spans="1:3" ht="12.75">
      <c r="A44">
        <f>'15min anneal'!L13</f>
        <v>400</v>
      </c>
      <c r="B44">
        <f>'15min anneal'!M13</f>
        <v>0.8225483916838379</v>
      </c>
      <c r="C44" s="4">
        <f>'15min anneal'!N13</f>
        <v>2.759999999999999</v>
      </c>
    </row>
    <row r="47" ht="12.75">
      <c r="A47" t="s">
        <v>51</v>
      </c>
    </row>
    <row r="48" spans="1:3" ht="12.75">
      <c r="A48" t="str">
        <f>'40min anneal'!L1</f>
        <v>Voltage </v>
      </c>
      <c r="B48" t="str">
        <f>'40min anneal'!M1</f>
        <v>eff at 1fC</v>
      </c>
      <c r="C48" t="str">
        <f>'40min anneal'!N1</f>
        <v>med Q</v>
      </c>
    </row>
    <row r="49" spans="1:3" ht="12.75">
      <c r="A49">
        <f>'40min anneal'!L2</f>
        <v>20</v>
      </c>
      <c r="B49">
        <f>'40min anneal'!M2</f>
        <v>0.3292573090909091</v>
      </c>
      <c r="C49">
        <f>'40min anneal'!N2</f>
        <v>0</v>
      </c>
    </row>
    <row r="50" spans="1:3" ht="12.75">
      <c r="A50">
        <f>'40min anneal'!L3</f>
        <v>30</v>
      </c>
      <c r="B50">
        <f>'40min anneal'!M3</f>
        <v>0.5819082533748702</v>
      </c>
      <c r="C50">
        <f>'40min anneal'!N3</f>
        <v>1.08</v>
      </c>
    </row>
    <row r="51" spans="1:3" ht="12.75">
      <c r="A51">
        <f>'40min anneal'!L4</f>
        <v>40</v>
      </c>
      <c r="B51">
        <f>'40min anneal'!M4</f>
        <v>0.7079907829787234</v>
      </c>
      <c r="C51">
        <f>'40min anneal'!N4</f>
        <v>1.31</v>
      </c>
    </row>
    <row r="52" spans="1:3" ht="12.75">
      <c r="A52">
        <f>'40min anneal'!L5</f>
        <v>50</v>
      </c>
      <c r="B52">
        <f>'40min anneal'!M5</f>
        <v>0.7745705387131953</v>
      </c>
      <c r="C52">
        <f>'40min anneal'!N5</f>
        <v>1.68</v>
      </c>
    </row>
    <row r="53" spans="1:3" ht="12.75">
      <c r="A53">
        <f>'40min anneal'!L6</f>
        <v>80</v>
      </c>
      <c r="B53">
        <f>'40min anneal'!M6</f>
        <v>0.7897467538873995</v>
      </c>
      <c r="C53">
        <f>'40min anneal'!N6</f>
        <v>1.91</v>
      </c>
    </row>
    <row r="54" spans="1:3" ht="12.75">
      <c r="A54">
        <f>'40min anneal'!L7</f>
        <v>100</v>
      </c>
      <c r="B54">
        <f>'40min anneal'!M7</f>
        <v>0.791799558918919</v>
      </c>
      <c r="C54">
        <f>'40min anneal'!N7</f>
        <v>2.079999999999999</v>
      </c>
    </row>
    <row r="55" spans="1:3" ht="12.75">
      <c r="A55">
        <f>'40min anneal'!L8</f>
        <v>150</v>
      </c>
      <c r="B55">
        <f>'40min anneal'!M8</f>
        <v>0.7961968860215054</v>
      </c>
      <c r="C55">
        <f>'40min anneal'!N8</f>
        <v>2.289999999999999</v>
      </c>
    </row>
    <row r="56" spans="1:3" ht="12.75">
      <c r="A56">
        <f>'40min anneal'!L9</f>
        <v>200</v>
      </c>
      <c r="B56">
        <f>'40min anneal'!M9</f>
        <v>0.8104874128851541</v>
      </c>
      <c r="C56">
        <f>'40min anneal'!N9</f>
        <v>2.4099999999999997</v>
      </c>
    </row>
    <row r="57" spans="1:3" ht="12.75">
      <c r="A57">
        <f>'40min anneal'!L10</f>
        <v>250</v>
      </c>
      <c r="B57">
        <f>'40min anneal'!M10</f>
        <v>0.8085611973969631</v>
      </c>
      <c r="C57">
        <f>'40min anneal'!N10</f>
        <v>2.5299999999999994</v>
      </c>
    </row>
    <row r="58" spans="1:3" ht="12.75">
      <c r="A58">
        <f>'40min anneal'!L11</f>
        <v>300</v>
      </c>
      <c r="B58">
        <f>'40min anneal'!M11</f>
        <v>0.808511571963617</v>
      </c>
      <c r="C58">
        <f>'40min anneal'!N11</f>
        <v>2.6099999999999994</v>
      </c>
    </row>
    <row r="59" spans="1:3" ht="12.75">
      <c r="A59">
        <f>'40min anneal'!L12</f>
        <v>350</v>
      </c>
      <c r="B59">
        <f>'40min anneal'!M12</f>
        <v>0.8144848922742111</v>
      </c>
      <c r="C59">
        <f>'40min anneal'!N12</f>
        <v>2.6699999999999986</v>
      </c>
    </row>
    <row r="60" spans="1:3" ht="12.75">
      <c r="A60">
        <f>'40min anneal'!L13</f>
        <v>400</v>
      </c>
      <c r="B60">
        <f>'40min anneal'!M13</f>
        <v>0.8215197159763313</v>
      </c>
      <c r="C60">
        <f>'40min anneal'!N13</f>
        <v>2.7299999999999995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28">
      <selection activeCell="G37" sqref="G37"/>
    </sheetView>
  </sheetViews>
  <sheetFormatPr defaultColWidth="9.140625" defaultRowHeight="12.75"/>
  <sheetData>
    <row r="1" ht="12.75">
      <c r="A1" t="s">
        <v>17</v>
      </c>
    </row>
    <row r="2" ht="12.75">
      <c r="A2" t="s">
        <v>19</v>
      </c>
    </row>
    <row r="4" spans="1:3" ht="12.75">
      <c r="A4">
        <v>1</v>
      </c>
      <c r="B4">
        <v>95.819</v>
      </c>
      <c r="C4">
        <v>-12.166</v>
      </c>
    </row>
    <row r="5" spans="1:3" ht="12.75">
      <c r="A5">
        <v>2</v>
      </c>
      <c r="B5">
        <v>91.806</v>
      </c>
      <c r="C5">
        <v>-6.182</v>
      </c>
    </row>
    <row r="6" spans="1:3" ht="12.75">
      <c r="A6">
        <v>3</v>
      </c>
      <c r="B6">
        <v>94.829</v>
      </c>
      <c r="C6">
        <v>-4.99</v>
      </c>
    </row>
    <row r="7" spans="1:3" ht="12.75">
      <c r="A7">
        <v>4</v>
      </c>
      <c r="B7">
        <v>97.512</v>
      </c>
      <c r="C7">
        <v>-12.799</v>
      </c>
    </row>
    <row r="8" spans="1:6" ht="12.75">
      <c r="A8">
        <v>5</v>
      </c>
      <c r="E8">
        <v>100.526</v>
      </c>
      <c r="F8">
        <v>-23.55</v>
      </c>
    </row>
    <row r="9" spans="1:3" ht="12.75">
      <c r="A9">
        <v>6</v>
      </c>
      <c r="B9">
        <v>96.648</v>
      </c>
      <c r="C9">
        <v>-9.253</v>
      </c>
    </row>
    <row r="10" spans="1:3" ht="12.75">
      <c r="A10">
        <v>7</v>
      </c>
      <c r="B10">
        <v>100.703</v>
      </c>
      <c r="C10">
        <v>-16.223</v>
      </c>
    </row>
    <row r="11" spans="1:3" ht="12.75">
      <c r="A11">
        <v>8</v>
      </c>
      <c r="B11">
        <v>97.73</v>
      </c>
      <c r="C11">
        <v>-12.095</v>
      </c>
    </row>
    <row r="12" spans="1:3" ht="12.75">
      <c r="A12">
        <v>9</v>
      </c>
      <c r="B12">
        <v>99.44</v>
      </c>
      <c r="C12">
        <v>-10.256</v>
      </c>
    </row>
    <row r="13" spans="1:3" ht="12.75">
      <c r="A13">
        <v>10</v>
      </c>
      <c r="B13">
        <v>97.21</v>
      </c>
      <c r="C13">
        <v>-15.462</v>
      </c>
    </row>
    <row r="14" spans="1:3" ht="12.75">
      <c r="A14">
        <v>11</v>
      </c>
      <c r="B14">
        <v>97.341</v>
      </c>
      <c r="C14">
        <v>-14.196</v>
      </c>
    </row>
    <row r="15" spans="1:3" ht="12.75">
      <c r="A15">
        <v>12</v>
      </c>
      <c r="B15">
        <v>93.341</v>
      </c>
      <c r="C15">
        <v>-12.566</v>
      </c>
    </row>
    <row r="16" spans="1:3" ht="12.75">
      <c r="A16">
        <v>13</v>
      </c>
      <c r="B16">
        <v>96.581</v>
      </c>
      <c r="C16">
        <v>-11.565</v>
      </c>
    </row>
    <row r="17" spans="1:3" ht="12.75">
      <c r="A17">
        <v>14</v>
      </c>
      <c r="B17">
        <v>101.863</v>
      </c>
      <c r="C17">
        <v>-18.292</v>
      </c>
    </row>
    <row r="18" spans="1:3" ht="12.75">
      <c r="A18">
        <v>15</v>
      </c>
      <c r="B18">
        <v>99.702</v>
      </c>
      <c r="C18">
        <v>-5.347</v>
      </c>
    </row>
    <row r="19" ht="12.75">
      <c r="A19">
        <v>1</v>
      </c>
    </row>
    <row r="20" spans="1:3" ht="12.75">
      <c r="A20">
        <v>2</v>
      </c>
      <c r="B20">
        <v>98.026</v>
      </c>
      <c r="C20">
        <v>-13.257</v>
      </c>
    </row>
    <row r="21" spans="1:3" ht="12.75">
      <c r="A21">
        <v>3</v>
      </c>
      <c r="B21">
        <v>95.011</v>
      </c>
      <c r="C21">
        <v>-13.618</v>
      </c>
    </row>
    <row r="22" spans="1:3" ht="12.75">
      <c r="A22">
        <v>4</v>
      </c>
      <c r="B22">
        <v>96.258</v>
      </c>
      <c r="C22">
        <v>-13.993</v>
      </c>
    </row>
    <row r="23" spans="1:3" ht="12.75">
      <c r="A23">
        <v>5</v>
      </c>
      <c r="B23">
        <v>98.618</v>
      </c>
      <c r="C23">
        <v>-15.384</v>
      </c>
    </row>
    <row r="24" spans="1:3" ht="12.75">
      <c r="A24">
        <v>6</v>
      </c>
      <c r="B24">
        <v>95.667</v>
      </c>
      <c r="C24">
        <v>-6.179</v>
      </c>
    </row>
    <row r="25" ht="12.75">
      <c r="A25">
        <v>7</v>
      </c>
    </row>
    <row r="26" spans="1:3" ht="12.75">
      <c r="A26">
        <v>8</v>
      </c>
      <c r="B26">
        <v>92.552</v>
      </c>
      <c r="C26">
        <v>-19.015</v>
      </c>
    </row>
    <row r="27" spans="1:3" ht="12.75">
      <c r="A27">
        <v>9</v>
      </c>
      <c r="B27">
        <v>98.773</v>
      </c>
      <c r="C27">
        <v>-8.8</v>
      </c>
    </row>
    <row r="28" spans="1:3" ht="12.75">
      <c r="A28">
        <v>10</v>
      </c>
      <c r="B28">
        <v>97.792</v>
      </c>
      <c r="C28">
        <v>-7.04</v>
      </c>
    </row>
    <row r="29" spans="1:3" ht="12.75">
      <c r="A29">
        <v>11</v>
      </c>
      <c r="B29">
        <v>94.536</v>
      </c>
      <c r="C29">
        <v>-6.581</v>
      </c>
    </row>
    <row r="30" spans="1:3" ht="12.75">
      <c r="A30">
        <v>12</v>
      </c>
      <c r="B30">
        <v>94.322</v>
      </c>
      <c r="C30">
        <v>-11.949</v>
      </c>
    </row>
    <row r="31" spans="1:3" ht="12.75">
      <c r="A31">
        <v>13</v>
      </c>
      <c r="B31">
        <v>95.009</v>
      </c>
      <c r="C31">
        <v>-3.722</v>
      </c>
    </row>
    <row r="32" spans="1:3" ht="12.75">
      <c r="A32">
        <v>14</v>
      </c>
      <c r="B32">
        <v>96.579</v>
      </c>
      <c r="C32">
        <v>-5.555</v>
      </c>
    </row>
    <row r="33" spans="1:3" ht="12.75">
      <c r="A33">
        <v>15</v>
      </c>
      <c r="B33">
        <v>96.435</v>
      </c>
      <c r="C33">
        <v>-1.729</v>
      </c>
    </row>
    <row r="34" spans="2:3" ht="12.75">
      <c r="B34">
        <f>SUM(B4:B33)/27</f>
        <v>96.67048148148149</v>
      </c>
      <c r="C34">
        <f>SUM(C4:C33)/27</f>
        <v>-10.674592592592594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0">
      <selection activeCell="C16" sqref="C16"/>
    </sheetView>
  </sheetViews>
  <sheetFormatPr defaultColWidth="9.140625" defaultRowHeight="12.75"/>
  <cols>
    <col min="1" max="1" width="10.7109375" style="0" customWidth="1"/>
    <col min="2" max="3" width="9.7109375" style="0" customWidth="1"/>
  </cols>
  <sheetData>
    <row r="1" spans="1:4" ht="12.75">
      <c r="A1" t="s">
        <v>56</v>
      </c>
      <c r="D1">
        <v>1.96</v>
      </c>
    </row>
    <row r="2" spans="1:3" ht="12.75">
      <c r="A2" t="s">
        <v>53</v>
      </c>
      <c r="B2" t="s">
        <v>18</v>
      </c>
      <c r="C2" t="s">
        <v>35</v>
      </c>
    </row>
    <row r="3" spans="1:3" ht="12.75">
      <c r="A3">
        <f>t0</f>
        <v>1.96</v>
      </c>
      <c r="B3">
        <f>summary!$C$9</f>
        <v>2.24</v>
      </c>
      <c r="C3">
        <f>summary!$B$9</f>
        <v>0.7940186122917863</v>
      </c>
    </row>
    <row r="4" spans="1:3" ht="12.75">
      <c r="A4">
        <f>5+t0</f>
        <v>6.96</v>
      </c>
      <c r="B4">
        <f>summary!$C$24</f>
        <v>2.2699999999999987</v>
      </c>
      <c r="C4">
        <f>summary!$B$24</f>
        <v>0.8187554069674289</v>
      </c>
    </row>
    <row r="5" spans="1:3" ht="12.75">
      <c r="A5">
        <f>15+t0</f>
        <v>16.96</v>
      </c>
      <c r="B5">
        <f>summary!$C$39</f>
        <v>2.299999999999999</v>
      </c>
      <c r="C5">
        <f>summary!$B$39</f>
        <v>0.8110505272771141</v>
      </c>
    </row>
    <row r="6" spans="1:3" ht="12.75">
      <c r="A6">
        <f>40+t0</f>
        <v>41.96</v>
      </c>
      <c r="B6">
        <f>summary!$C$55</f>
        <v>2.289999999999999</v>
      </c>
      <c r="C6">
        <f>summary!$B$55</f>
        <v>0.7961968860215054</v>
      </c>
    </row>
    <row r="7" spans="1:3" ht="12.75">
      <c r="A7">
        <f>80+t0</f>
        <v>81.96</v>
      </c>
      <c r="B7">
        <f>summary!$G$9</f>
        <v>2.199999999999999</v>
      </c>
      <c r="C7">
        <f>summary!$F$9</f>
        <v>0.8046836073741903</v>
      </c>
    </row>
    <row r="8" spans="1:3" ht="12.75">
      <c r="A8">
        <f>200+t0</f>
        <v>201.96</v>
      </c>
      <c r="B8">
        <f>summary!$G$24</f>
        <v>2.2299999999999995</v>
      </c>
      <c r="C8">
        <f>summary!$F$24</f>
        <v>0.8090657987012987</v>
      </c>
    </row>
    <row r="19" ht="12.75">
      <c r="A19" t="s">
        <v>54</v>
      </c>
    </row>
    <row r="20" spans="1:2" ht="12.75">
      <c r="A20" t="s">
        <v>53</v>
      </c>
      <c r="B20" t="s">
        <v>55</v>
      </c>
    </row>
    <row r="21" spans="1:2" ht="12.75">
      <c r="A21">
        <f>t0</f>
        <v>1.96</v>
      </c>
      <c r="B21">
        <v>271.6</v>
      </c>
    </row>
    <row r="22" spans="1:2" ht="12.75">
      <c r="A22">
        <f>5+t0</f>
        <v>6.96</v>
      </c>
      <c r="B22">
        <v>260</v>
      </c>
    </row>
    <row r="23" spans="1:2" ht="12.75">
      <c r="A23">
        <f>15+t0</f>
        <v>16.96</v>
      </c>
      <c r="B23">
        <v>221.2</v>
      </c>
    </row>
    <row r="24" spans="1:2" ht="12.75">
      <c r="A24">
        <f>40+t0</f>
        <v>41.96</v>
      </c>
      <c r="B24">
        <v>236.9</v>
      </c>
    </row>
    <row r="25" spans="1:2" ht="12.75">
      <c r="A25">
        <f>80+t0</f>
        <v>81.96</v>
      </c>
      <c r="B25">
        <v>268.3</v>
      </c>
    </row>
    <row r="26" spans="1:2" ht="12.75">
      <c r="A26">
        <f>200+t0</f>
        <v>201.96</v>
      </c>
      <c r="B26">
        <v>235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5"/>
  <sheetViews>
    <sheetView workbookViewId="0" topLeftCell="A1">
      <selection activeCell="F32" sqref="F32"/>
    </sheetView>
  </sheetViews>
  <sheetFormatPr defaultColWidth="9.140625" defaultRowHeight="12.75"/>
  <cols>
    <col min="1" max="1" width="9.7109375" style="0" customWidth="1"/>
    <col min="3" max="3" width="9.7109375" style="0" customWidth="1"/>
  </cols>
  <sheetData>
    <row r="1" spans="1:25" ht="12.75">
      <c r="A1" s="2" t="s">
        <v>12</v>
      </c>
      <c r="C1" t="s">
        <v>21</v>
      </c>
      <c r="E1" t="s">
        <v>22</v>
      </c>
      <c r="H1" t="s">
        <v>27</v>
      </c>
      <c r="L1" t="s">
        <v>34</v>
      </c>
      <c r="M1" t="s">
        <v>35</v>
      </c>
      <c r="N1" t="s">
        <v>18</v>
      </c>
      <c r="Q1" t="s">
        <v>14</v>
      </c>
      <c r="R1" t="s">
        <v>14</v>
      </c>
      <c r="S1" s="4"/>
      <c r="T1" s="4"/>
      <c r="U1" s="4"/>
      <c r="V1" s="4"/>
      <c r="W1" s="4"/>
      <c r="X1" s="4"/>
      <c r="Y1" s="4"/>
    </row>
    <row r="2" spans="1:25" ht="12.75">
      <c r="A2" s="2"/>
      <c r="H2" t="s">
        <v>36</v>
      </c>
      <c r="L2">
        <v>20</v>
      </c>
      <c r="M2">
        <f>G7</f>
        <v>0.29760604347826086</v>
      </c>
      <c r="S2" s="4"/>
      <c r="T2" s="4"/>
      <c r="U2" s="4"/>
      <c r="V2" s="4"/>
      <c r="W2" s="4"/>
      <c r="X2" s="4"/>
      <c r="Y2" s="4"/>
    </row>
    <row r="3" spans="3:25" ht="12.75">
      <c r="C3">
        <v>96.808</v>
      </c>
      <c r="E3">
        <v>-11.13</v>
      </c>
      <c r="H3">
        <v>1.019459</v>
      </c>
      <c r="L3">
        <v>30</v>
      </c>
      <c r="M3">
        <f>G17</f>
        <v>0.5491485813333333</v>
      </c>
      <c r="N3">
        <f>N16</f>
        <v>1.06</v>
      </c>
      <c r="S3" s="5"/>
      <c r="T3" s="5"/>
      <c r="U3" s="5"/>
      <c r="V3" s="4"/>
      <c r="W3" s="5"/>
      <c r="X3" s="5"/>
      <c r="Y3" s="6"/>
    </row>
    <row r="4" spans="1:25" ht="12.75">
      <c r="A4" t="s">
        <v>7</v>
      </c>
      <c r="L4">
        <v>40</v>
      </c>
      <c r="M4">
        <f>O34</f>
        <v>0.6824999999999997</v>
      </c>
      <c r="N4">
        <f>N29</f>
        <v>1.28</v>
      </c>
      <c r="S4" s="5"/>
      <c r="T4" s="5"/>
      <c r="U4" s="5"/>
      <c r="V4" s="4"/>
      <c r="W4" s="5"/>
      <c r="X4" s="5"/>
      <c r="Y4" s="5"/>
    </row>
    <row r="5" spans="12:25" ht="12.75">
      <c r="L5">
        <v>60</v>
      </c>
      <c r="M5">
        <f>G41</f>
        <v>0.7753148648345485</v>
      </c>
      <c r="N5">
        <f>N46</f>
        <v>1.66</v>
      </c>
      <c r="S5" s="5"/>
      <c r="T5" s="5"/>
      <c r="U5" s="5"/>
      <c r="V5" s="4"/>
      <c r="W5" s="5"/>
      <c r="X5" s="5"/>
      <c r="Y5" s="5"/>
    </row>
    <row r="6" spans="1:25" ht="12.75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  <c r="L6">
        <v>80</v>
      </c>
      <c r="M6">
        <f>G54</f>
        <v>0.8116965572305973</v>
      </c>
      <c r="N6">
        <f>N60</f>
        <v>1.86</v>
      </c>
      <c r="S6" s="5"/>
      <c r="T6" s="5"/>
      <c r="U6" s="5"/>
      <c r="V6" s="4"/>
      <c r="W6" s="5"/>
      <c r="X6" s="5"/>
      <c r="Y6" s="5"/>
    </row>
    <row r="7" spans="1:25" ht="12.75">
      <c r="A7">
        <v>85</v>
      </c>
      <c r="B7">
        <f>(A7-offset)/gain</f>
        <v>0.9929964465746631</v>
      </c>
      <c r="C7">
        <v>17154</v>
      </c>
      <c r="D7">
        <v>1799</v>
      </c>
      <c r="E7">
        <v>15</v>
      </c>
      <c r="F7">
        <v>502</v>
      </c>
      <c r="G7">
        <f>1.019459*(E7+F7)/(D7-14*2)</f>
        <v>0.29760604347826086</v>
      </c>
      <c r="L7">
        <v>100</v>
      </c>
      <c r="M7">
        <f>G69</f>
        <v>0.7900948137092315</v>
      </c>
      <c r="N7">
        <f>N73</f>
        <v>2.03</v>
      </c>
      <c r="S7" s="5"/>
      <c r="T7" s="5"/>
      <c r="U7" s="5"/>
      <c r="V7" s="4"/>
      <c r="W7" s="5"/>
      <c r="X7" s="5"/>
      <c r="Y7" s="5"/>
    </row>
    <row r="8" spans="1:25" ht="12.75">
      <c r="A8">
        <v>100</v>
      </c>
      <c r="B8">
        <f>(A8-offset)/gain</f>
        <v>1.1479423188166267</v>
      </c>
      <c r="L8">
        <v>150</v>
      </c>
      <c r="M8">
        <f>G85</f>
        <v>0.7940186122917863</v>
      </c>
      <c r="N8">
        <f>N87</f>
        <v>2.24</v>
      </c>
      <c r="S8" s="5"/>
      <c r="T8" s="8"/>
      <c r="U8" s="5"/>
      <c r="V8" s="4"/>
      <c r="W8" s="5"/>
      <c r="X8" s="5"/>
      <c r="Y8" s="5"/>
    </row>
    <row r="9" spans="1:25" ht="12.75">
      <c r="A9">
        <v>120</v>
      </c>
      <c r="B9">
        <f>(A9-offset)/gain</f>
        <v>1.3545368151392445</v>
      </c>
      <c r="L9">
        <v>200</v>
      </c>
      <c r="M9">
        <f>G99</f>
        <v>0.804328175389755</v>
      </c>
      <c r="N9" s="4">
        <f>N105</f>
        <v>2.37</v>
      </c>
      <c r="O9" s="4"/>
      <c r="P9" s="4"/>
      <c r="Q9" s="4"/>
      <c r="S9" s="5"/>
      <c r="T9" s="5"/>
      <c r="U9" s="5"/>
      <c r="V9" s="4"/>
      <c r="W9" s="5"/>
      <c r="X9" s="5"/>
      <c r="Y9" s="5"/>
    </row>
    <row r="10" spans="12:25" ht="12.75">
      <c r="L10">
        <v>250</v>
      </c>
      <c r="N10" s="4">
        <f>N120</f>
        <v>2.46</v>
      </c>
      <c r="O10" s="4"/>
      <c r="P10" s="4"/>
      <c r="Q10" s="4"/>
      <c r="S10" s="5"/>
      <c r="T10" s="5"/>
      <c r="U10" s="5"/>
      <c r="V10" s="4"/>
      <c r="W10" s="4"/>
      <c r="X10" s="4"/>
      <c r="Y10" s="4"/>
    </row>
    <row r="11" spans="12:25" ht="12.75">
      <c r="L11">
        <v>300</v>
      </c>
      <c r="N11" s="4">
        <f>N136</f>
        <v>2.55</v>
      </c>
      <c r="O11" s="4"/>
      <c r="P11" s="4"/>
      <c r="Q11" s="4"/>
      <c r="S11" s="4"/>
      <c r="T11" s="4"/>
      <c r="U11" s="4"/>
      <c r="V11" s="4"/>
      <c r="W11" s="4"/>
      <c r="X11" s="4"/>
      <c r="Y11" s="4"/>
    </row>
    <row r="12" spans="12:25" ht="12.75">
      <c r="L12">
        <v>350</v>
      </c>
      <c r="N12" s="4">
        <f>N148</f>
        <v>2.61</v>
      </c>
      <c r="O12" s="4"/>
      <c r="P12" s="4"/>
      <c r="Q12" s="4"/>
      <c r="S12" s="4"/>
      <c r="T12" s="4"/>
      <c r="U12" s="4"/>
      <c r="V12" s="4"/>
      <c r="W12" s="4"/>
      <c r="X12" s="4"/>
      <c r="Y12" s="4"/>
    </row>
    <row r="13" spans="12:25" ht="12.75">
      <c r="L13">
        <v>400</v>
      </c>
      <c r="N13" s="4">
        <f>N163</f>
        <v>2.67</v>
      </c>
      <c r="O13" s="4"/>
      <c r="P13" s="4"/>
      <c r="Q13" s="4"/>
      <c r="S13" s="4"/>
      <c r="T13" s="4"/>
      <c r="U13" s="4"/>
      <c r="V13" s="4"/>
      <c r="W13" s="4"/>
      <c r="X13" s="4"/>
      <c r="Y13" s="4"/>
    </row>
    <row r="14" spans="1:25" ht="12.75">
      <c r="A14" t="s">
        <v>8</v>
      </c>
      <c r="B14" t="s">
        <v>23</v>
      </c>
      <c r="N14" s="4"/>
      <c r="O14" s="5"/>
      <c r="P14" s="5"/>
      <c r="Q14" s="4"/>
      <c r="S14" s="4"/>
      <c r="T14" s="4"/>
      <c r="U14" s="4"/>
      <c r="V14" s="4"/>
      <c r="W14" s="4"/>
      <c r="X14" s="4"/>
      <c r="Y14" s="4"/>
    </row>
    <row r="15" spans="14:25" ht="12.75">
      <c r="N15" s="4">
        <v>1</v>
      </c>
      <c r="O15" s="4">
        <f>1.4511*N15^3-5.1718*N15^2+5.2695*N15-1.0047</f>
        <v>0.5441</v>
      </c>
      <c r="P15" s="4"/>
      <c r="Q15" s="4"/>
      <c r="S15" s="4"/>
      <c r="T15" s="4"/>
      <c r="U15" s="4"/>
      <c r="V15" s="4"/>
      <c r="W15" s="4"/>
      <c r="X15" s="4"/>
      <c r="Y15" s="4"/>
    </row>
    <row r="16" spans="1:25" ht="12.75">
      <c r="A16" t="s">
        <v>0</v>
      </c>
      <c r="B16" t="s">
        <v>1</v>
      </c>
      <c r="C16" t="s">
        <v>2</v>
      </c>
      <c r="D16" t="s">
        <v>3</v>
      </c>
      <c r="E16" t="s">
        <v>4</v>
      </c>
      <c r="F16" t="s">
        <v>5</v>
      </c>
      <c r="G16" t="s">
        <v>6</v>
      </c>
      <c r="N16" s="5">
        <v>1.06</v>
      </c>
      <c r="O16" s="4">
        <f aca="true" t="shared" si="0" ref="O16:O21">1.4511*N16^3-5.1718*N16^2+5.2695*N16-1.0047</f>
        <v>0.4982188376000003</v>
      </c>
      <c r="P16" s="4"/>
      <c r="Q16" s="4"/>
      <c r="S16" s="4"/>
      <c r="T16" s="4"/>
      <c r="U16" s="4"/>
      <c r="V16" s="4"/>
      <c r="W16" s="4"/>
      <c r="X16" s="4"/>
      <c r="Y16" s="4"/>
    </row>
    <row r="17" spans="1:25" ht="12.75">
      <c r="A17">
        <v>85</v>
      </c>
      <c r="B17">
        <f>(A17-offset)/gain</f>
        <v>0.9929964465746631</v>
      </c>
      <c r="C17">
        <v>28059</v>
      </c>
      <c r="D17">
        <v>1903</v>
      </c>
      <c r="E17">
        <v>33</v>
      </c>
      <c r="F17">
        <v>977</v>
      </c>
      <c r="G17">
        <f>1.019459*(E17+F17)/(D17-14*2)</f>
        <v>0.5491485813333333</v>
      </c>
      <c r="N17" s="4">
        <f>N16+0.01</f>
        <v>1.07</v>
      </c>
      <c r="O17" s="4">
        <f t="shared" si="0"/>
        <v>0.4901310773000007</v>
      </c>
      <c r="P17" s="4"/>
      <c r="Q17" s="4"/>
      <c r="S17" s="4"/>
      <c r="T17" s="4"/>
      <c r="U17" s="4"/>
      <c r="V17" s="4"/>
      <c r="W17" s="4"/>
      <c r="X17" s="4"/>
      <c r="Y17" s="4"/>
    </row>
    <row r="18" spans="1:25" ht="12.75">
      <c r="A18">
        <v>100</v>
      </c>
      <c r="B18">
        <f>(A18-offset)/gain</f>
        <v>1.1479423188166267</v>
      </c>
      <c r="C18">
        <v>22302</v>
      </c>
      <c r="D18">
        <v>1866</v>
      </c>
      <c r="E18">
        <v>26</v>
      </c>
      <c r="F18">
        <v>739</v>
      </c>
      <c r="G18">
        <f>1.019459*(E18+F18)/(D18-14*2)</f>
        <v>0.42431236942328615</v>
      </c>
      <c r="N18" s="4">
        <f>N17+0.01</f>
        <v>1.08</v>
      </c>
      <c r="O18" s="4">
        <f t="shared" si="0"/>
        <v>0.4819405632</v>
      </c>
      <c r="P18" s="4"/>
      <c r="Q18" s="4"/>
      <c r="S18" s="4"/>
      <c r="T18" s="4"/>
      <c r="U18" s="4"/>
      <c r="V18" s="4"/>
      <c r="W18" s="4"/>
      <c r="X18" s="4"/>
      <c r="Y18" s="4"/>
    </row>
    <row r="19" spans="1:25" ht="12.75">
      <c r="A19">
        <v>120</v>
      </c>
      <c r="B19">
        <f>(A19-offset)/gain</f>
        <v>1.3545368151392445</v>
      </c>
      <c r="C19">
        <v>15943</v>
      </c>
      <c r="D19">
        <v>1872</v>
      </c>
      <c r="E19">
        <v>18</v>
      </c>
      <c r="F19">
        <v>435</v>
      </c>
      <c r="G19">
        <f>1.019459*(E19+F19)/(D19-14*2)</f>
        <v>0.2504419343817787</v>
      </c>
      <c r="N19" s="4">
        <f>N18+0.01</f>
        <v>1.09</v>
      </c>
      <c r="O19" s="4">
        <f t="shared" si="0"/>
        <v>0.4736560019</v>
      </c>
      <c r="P19" s="4"/>
      <c r="Q19" s="4"/>
      <c r="S19" s="4"/>
      <c r="T19" s="4"/>
      <c r="U19" s="4"/>
      <c r="V19" s="4"/>
      <c r="W19" s="4"/>
      <c r="X19" s="4"/>
      <c r="Y19" s="4"/>
    </row>
    <row r="20" spans="1:25" ht="12.75">
      <c r="A20">
        <v>150</v>
      </c>
      <c r="B20">
        <f>(A20-offset)/gain</f>
        <v>1.6644285596231714</v>
      </c>
      <c r="C20">
        <v>10382</v>
      </c>
      <c r="D20">
        <v>1899</v>
      </c>
      <c r="E20">
        <v>10</v>
      </c>
      <c r="F20">
        <v>228</v>
      </c>
      <c r="G20">
        <f>1.019459*(E20+F20)/(D20-14*2)</f>
        <v>0.12967997969000533</v>
      </c>
      <c r="N20" s="4">
        <f>N19+0.01</f>
        <v>1.1</v>
      </c>
      <c r="O20" s="4">
        <f t="shared" si="0"/>
        <v>0.46528609999999904</v>
      </c>
      <c r="P20" s="4"/>
      <c r="Q20" s="4"/>
      <c r="S20" s="4"/>
      <c r="T20" s="4"/>
      <c r="U20" s="4"/>
      <c r="V20" s="4"/>
      <c r="W20" s="4"/>
      <c r="X20" s="4"/>
      <c r="Y20" s="4"/>
    </row>
    <row r="21" spans="14:25" ht="12.75">
      <c r="N21" s="4">
        <f>N20+0.01</f>
        <v>1.11</v>
      </c>
      <c r="O21" s="4">
        <f t="shared" si="0"/>
        <v>0.4568395640999998</v>
      </c>
      <c r="P21" s="4"/>
      <c r="Q21" s="4"/>
      <c r="S21" s="4"/>
      <c r="T21" s="4"/>
      <c r="U21" s="4"/>
      <c r="V21" s="4"/>
      <c r="W21" s="4"/>
      <c r="X21" s="4"/>
      <c r="Y21" s="4"/>
    </row>
    <row r="22" spans="14:25" ht="12.75">
      <c r="N22" s="4"/>
      <c r="O22" s="4"/>
      <c r="P22" s="4"/>
      <c r="Q22" s="4"/>
      <c r="S22" s="4"/>
      <c r="T22" s="4"/>
      <c r="U22" s="4"/>
      <c r="V22" s="4"/>
      <c r="W22" s="4"/>
      <c r="X22" s="4"/>
      <c r="Y22" s="4"/>
    </row>
    <row r="23" spans="14:25" ht="12.75">
      <c r="N23" s="4"/>
      <c r="O23" s="4"/>
      <c r="P23" s="4"/>
      <c r="Q23" s="4"/>
      <c r="S23" s="4"/>
      <c r="T23" s="4"/>
      <c r="U23" s="4"/>
      <c r="V23" s="4"/>
      <c r="W23" s="4"/>
      <c r="X23" s="4"/>
      <c r="Y23" s="4"/>
    </row>
    <row r="24" spans="14:25" ht="12.75">
      <c r="N24" s="4"/>
      <c r="O24" s="4"/>
      <c r="P24" s="4"/>
      <c r="Q24" s="4"/>
      <c r="S24" s="4"/>
      <c r="T24" s="4"/>
      <c r="U24" s="4"/>
      <c r="V24" s="4"/>
      <c r="W24" s="4"/>
      <c r="X24" s="4"/>
      <c r="Y24" s="4"/>
    </row>
    <row r="25" spans="1:25" ht="12.75">
      <c r="A25" t="s">
        <v>9</v>
      </c>
      <c r="B25" t="s">
        <v>20</v>
      </c>
      <c r="N25" s="4"/>
      <c r="O25" s="4"/>
      <c r="P25" s="4"/>
      <c r="Q25" s="4"/>
      <c r="S25" s="4"/>
      <c r="T25" s="4"/>
      <c r="U25" s="4"/>
      <c r="V25" s="4"/>
      <c r="W25" s="4"/>
      <c r="X25" s="4"/>
      <c r="Y25" s="4"/>
    </row>
    <row r="26" spans="14:17" ht="12.75">
      <c r="N26" s="4"/>
      <c r="O26" s="4"/>
      <c r="P26" s="4"/>
      <c r="Q26" s="4"/>
    </row>
    <row r="27" spans="1:17" ht="12.75">
      <c r="A27" t="s">
        <v>0</v>
      </c>
      <c r="B27" t="s">
        <v>1</v>
      </c>
      <c r="C27" t="s">
        <v>2</v>
      </c>
      <c r="D27" t="s">
        <v>3</v>
      </c>
      <c r="E27" t="s">
        <v>4</v>
      </c>
      <c r="F27" t="s">
        <v>5</v>
      </c>
      <c r="G27" t="s">
        <v>6</v>
      </c>
      <c r="N27" s="4"/>
      <c r="O27" s="4"/>
      <c r="P27" s="4"/>
      <c r="Q27" s="4"/>
    </row>
    <row r="28" spans="1:17" ht="12.75">
      <c r="A28">
        <v>80</v>
      </c>
      <c r="B28">
        <f aca="true" t="shared" si="1" ref="B28:B33">(A28-offset)/gain</f>
        <v>0.9413478224940086</v>
      </c>
      <c r="C28">
        <v>40636</v>
      </c>
      <c r="D28">
        <v>1841</v>
      </c>
      <c r="E28">
        <v>34</v>
      </c>
      <c r="F28">
        <v>1222</v>
      </c>
      <c r="G28">
        <f aca="true" t="shared" si="2" ref="G28:G33">1.019459*(E28+F28)/(D28-14*2)</f>
        <v>0.7062551042471042</v>
      </c>
      <c r="N28" s="4">
        <v>1.27</v>
      </c>
      <c r="O28" s="7">
        <f>0.6824*N28^3-2.7795*N28^2+3.0193*N28-0.2397</f>
        <v>0.5095720091999993</v>
      </c>
      <c r="P28" s="5"/>
      <c r="Q28" s="4"/>
    </row>
    <row r="29" spans="1:17" ht="12.75">
      <c r="A29">
        <v>90</v>
      </c>
      <c r="B29">
        <f t="shared" si="1"/>
        <v>1.0446450706553176</v>
      </c>
      <c r="C29">
        <v>35822</v>
      </c>
      <c r="D29">
        <v>1816</v>
      </c>
      <c r="E29">
        <v>54</v>
      </c>
      <c r="F29">
        <v>1110</v>
      </c>
      <c r="G29">
        <f t="shared" si="2"/>
        <v>0.6636746510067113</v>
      </c>
      <c r="N29" s="5">
        <f>N28+0.01</f>
        <v>1.28</v>
      </c>
      <c r="O29" s="7">
        <f aca="true" t="shared" si="3" ref="O29:O34">0.6824*N29^3-2.7795*N29^2+3.0193*N29-0.2397</f>
        <v>0.5021677248</v>
      </c>
      <c r="P29" s="4"/>
      <c r="Q29" s="4"/>
    </row>
    <row r="30" spans="1:17" ht="12.75">
      <c r="A30" s="1">
        <v>100</v>
      </c>
      <c r="B30">
        <f t="shared" si="1"/>
        <v>1.1479423188166267</v>
      </c>
      <c r="C30" s="1">
        <v>31494</v>
      </c>
      <c r="D30" s="1">
        <v>1857</v>
      </c>
      <c r="E30" s="1">
        <v>50</v>
      </c>
      <c r="F30" s="1">
        <v>1019</v>
      </c>
      <c r="G30">
        <f t="shared" si="2"/>
        <v>0.5958456375068343</v>
      </c>
      <c r="N30" s="4">
        <f>N29+0.01</f>
        <v>1.29</v>
      </c>
      <c r="O30" s="7">
        <f t="shared" si="3"/>
        <v>0.49473162359999945</v>
      </c>
      <c r="P30" s="4"/>
      <c r="Q30" s="4"/>
    </row>
    <row r="31" spans="1:17" ht="12.75">
      <c r="A31">
        <v>120</v>
      </c>
      <c r="B31">
        <f t="shared" si="1"/>
        <v>1.3545368151392445</v>
      </c>
      <c r="C31" s="1">
        <v>24571</v>
      </c>
      <c r="D31" s="1">
        <v>1864</v>
      </c>
      <c r="E31" s="1">
        <v>33</v>
      </c>
      <c r="F31" s="1">
        <v>765</v>
      </c>
      <c r="G31">
        <f t="shared" si="2"/>
        <v>0.4430981928104574</v>
      </c>
      <c r="N31" s="4">
        <f>N30+0.01</f>
        <v>1.3</v>
      </c>
      <c r="O31" s="7">
        <f t="shared" si="3"/>
        <v>0.4872677999999997</v>
      </c>
      <c r="P31" s="4"/>
      <c r="Q31" s="4"/>
    </row>
    <row r="32" spans="1:17" ht="12.75">
      <c r="A32">
        <v>150</v>
      </c>
      <c r="B32">
        <f t="shared" si="1"/>
        <v>1.6644285596231714</v>
      </c>
      <c r="C32" s="1">
        <v>16533</v>
      </c>
      <c r="D32" s="1">
        <v>1848</v>
      </c>
      <c r="E32" s="1">
        <v>13</v>
      </c>
      <c r="F32" s="1">
        <v>405</v>
      </c>
      <c r="G32">
        <f t="shared" si="2"/>
        <v>0.23413948461538459</v>
      </c>
      <c r="N32" s="4">
        <f>N31+0.01</f>
        <v>1.31</v>
      </c>
      <c r="O32" s="7">
        <f t="shared" si="3"/>
        <v>0.4797803483999994</v>
      </c>
      <c r="P32" s="4"/>
      <c r="Q32" s="4"/>
    </row>
    <row r="33" spans="1:17" ht="12.75">
      <c r="A33">
        <v>180</v>
      </c>
      <c r="B33">
        <f t="shared" si="1"/>
        <v>1.9743203041070985</v>
      </c>
      <c r="C33" s="1">
        <v>11743</v>
      </c>
      <c r="D33" s="1">
        <v>1937</v>
      </c>
      <c r="E33" s="1">
        <v>7</v>
      </c>
      <c r="F33" s="1">
        <v>252</v>
      </c>
      <c r="G33">
        <f t="shared" si="2"/>
        <v>0.13831319067574646</v>
      </c>
      <c r="N33" s="4">
        <f>N32+0.01</f>
        <v>1.32</v>
      </c>
      <c r="O33" s="7">
        <f t="shared" si="3"/>
        <v>0.47227336320000024</v>
      </c>
      <c r="P33" s="4"/>
      <c r="Q33" s="4"/>
    </row>
    <row r="34" spans="14:17" ht="12.75">
      <c r="N34" s="4">
        <v>1</v>
      </c>
      <c r="O34" s="7">
        <f t="shared" si="3"/>
        <v>0.6824999999999997</v>
      </c>
      <c r="P34" s="4"/>
      <c r="Q34" s="4"/>
    </row>
    <row r="35" spans="14:17" ht="12.75">
      <c r="N35" s="4"/>
      <c r="O35" s="4"/>
      <c r="P35" s="4"/>
      <c r="Q35" s="4"/>
    </row>
    <row r="36" spans="14:17" ht="12.75">
      <c r="N36" s="4"/>
      <c r="O36" s="4"/>
      <c r="P36" s="4"/>
      <c r="Q36" s="4"/>
    </row>
    <row r="37" spans="14:17" ht="12.75">
      <c r="N37" s="4"/>
      <c r="O37" s="4"/>
      <c r="P37" s="4"/>
      <c r="Q37" s="4"/>
    </row>
    <row r="38" spans="1:17" ht="12.75">
      <c r="A38" t="s">
        <v>10</v>
      </c>
      <c r="N38" s="4"/>
      <c r="O38" s="4"/>
      <c r="P38" s="4"/>
      <c r="Q38" s="4"/>
    </row>
    <row r="39" spans="14:17" ht="12.75">
      <c r="N39" s="4"/>
      <c r="O39" s="4"/>
      <c r="P39" s="4"/>
      <c r="Q39" s="4"/>
    </row>
    <row r="40" spans="1:17" ht="12.75">
      <c r="A40" t="s">
        <v>0</v>
      </c>
      <c r="B40" t="s">
        <v>1</v>
      </c>
      <c r="C40" t="s">
        <v>2</v>
      </c>
      <c r="D40" t="s">
        <v>3</v>
      </c>
      <c r="E40" t="s">
        <v>4</v>
      </c>
      <c r="F40" t="s">
        <v>5</v>
      </c>
      <c r="G40" t="s">
        <v>6</v>
      </c>
      <c r="N40" s="4"/>
      <c r="O40" s="4"/>
      <c r="P40" s="4"/>
      <c r="Q40" s="4"/>
    </row>
    <row r="41" spans="1:17" ht="12.75">
      <c r="A41">
        <v>85</v>
      </c>
      <c r="B41">
        <f aca="true" t="shared" si="4" ref="B41:B47">(A41-offset)/gain</f>
        <v>0.9929964465746631</v>
      </c>
      <c r="C41">
        <v>55898</v>
      </c>
      <c r="D41">
        <v>1811</v>
      </c>
      <c r="E41">
        <v>50</v>
      </c>
      <c r="F41">
        <v>1306</v>
      </c>
      <c r="G41">
        <f aca="true" t="shared" si="5" ref="G41:G47">1.019459*(E41+F41)/(D41-14*2)</f>
        <v>0.7753148648345485</v>
      </c>
      <c r="N41" s="4">
        <v>1.6</v>
      </c>
      <c r="O41" s="4">
        <f>0.1613*N41^3-0.8413*N41^2+0.9478*N41+0.5077</f>
        <v>0.5311367999999999</v>
      </c>
      <c r="P41" s="4"/>
      <c r="Q41" s="4"/>
    </row>
    <row r="42" spans="1:17" ht="12.75">
      <c r="A42" s="1">
        <v>100</v>
      </c>
      <c r="B42">
        <f t="shared" si="4"/>
        <v>1.1479423188166267</v>
      </c>
      <c r="C42">
        <v>48729</v>
      </c>
      <c r="D42">
        <v>1873</v>
      </c>
      <c r="E42">
        <v>37</v>
      </c>
      <c r="F42">
        <v>1289</v>
      </c>
      <c r="G42">
        <f t="shared" si="5"/>
        <v>0.7326843544715447</v>
      </c>
      <c r="N42" s="4">
        <f aca="true" t="shared" si="6" ref="N42:N48">N41+0.01</f>
        <v>1.61</v>
      </c>
      <c r="O42" s="4">
        <f aca="true" t="shared" si="7" ref="O42:O48">0.1613*N42^3-0.8413*N42^2+0.9478*N42+0.5077</f>
        <v>0.5260744952999998</v>
      </c>
      <c r="P42" s="4"/>
      <c r="Q42" s="4"/>
    </row>
    <row r="43" spans="1:17" ht="12.75">
      <c r="A43">
        <v>120</v>
      </c>
      <c r="B43">
        <f t="shared" si="4"/>
        <v>1.3545368151392445</v>
      </c>
      <c r="C43">
        <v>39311</v>
      </c>
      <c r="D43">
        <v>1755</v>
      </c>
      <c r="E43">
        <v>45</v>
      </c>
      <c r="F43">
        <v>1061</v>
      </c>
      <c r="G43">
        <f t="shared" si="5"/>
        <v>0.6528787805442964</v>
      </c>
      <c r="N43" s="4">
        <f t="shared" si="6"/>
        <v>1.62</v>
      </c>
      <c r="O43" s="4">
        <f t="shared" si="7"/>
        <v>0.5209997463999998</v>
      </c>
      <c r="P43" s="5"/>
      <c r="Q43" s="4"/>
    </row>
    <row r="44" spans="1:17" ht="12.75">
      <c r="A44">
        <v>150</v>
      </c>
      <c r="B44">
        <f t="shared" si="4"/>
        <v>1.6644285596231714</v>
      </c>
      <c r="C44">
        <v>28825</v>
      </c>
      <c r="D44">
        <v>1766</v>
      </c>
      <c r="E44">
        <v>30</v>
      </c>
      <c r="F44">
        <v>806</v>
      </c>
      <c r="G44">
        <f t="shared" si="5"/>
        <v>0.49037268354430374</v>
      </c>
      <c r="N44" s="4">
        <f t="shared" si="6"/>
        <v>1.6300000000000001</v>
      </c>
      <c r="O44" s="4">
        <f t="shared" si="7"/>
        <v>0.5159135210999999</v>
      </c>
      <c r="P44" s="4"/>
      <c r="Q44" s="4"/>
    </row>
    <row r="45" spans="1:17" ht="12.75">
      <c r="A45">
        <v>180</v>
      </c>
      <c r="B45">
        <f t="shared" si="4"/>
        <v>1.9743203041070985</v>
      </c>
      <c r="C45">
        <v>21428</v>
      </c>
      <c r="D45">
        <v>1842</v>
      </c>
      <c r="E45">
        <v>20</v>
      </c>
      <c r="F45">
        <v>594</v>
      </c>
      <c r="G45">
        <f t="shared" si="5"/>
        <v>0.345064953693495</v>
      </c>
      <c r="N45" s="4">
        <f t="shared" si="6"/>
        <v>1.6400000000000001</v>
      </c>
      <c r="O45" s="4">
        <f t="shared" si="7"/>
        <v>0.5108167871999998</v>
      </c>
      <c r="P45" s="4"/>
      <c r="Q45" s="4"/>
    </row>
    <row r="46" spans="1:17" ht="12.75">
      <c r="A46">
        <v>210</v>
      </c>
      <c r="B46">
        <f t="shared" si="4"/>
        <v>2.284212048591025</v>
      </c>
      <c r="C46">
        <v>15476</v>
      </c>
      <c r="D46">
        <v>1891</v>
      </c>
      <c r="E46">
        <v>18</v>
      </c>
      <c r="F46">
        <v>356</v>
      </c>
      <c r="G46">
        <f t="shared" si="5"/>
        <v>0.20465789908749327</v>
      </c>
      <c r="N46" s="5">
        <v>1.66</v>
      </c>
      <c r="O46" s="4">
        <f t="shared" si="7"/>
        <v>0.5005956647999996</v>
      </c>
      <c r="P46" s="4"/>
      <c r="Q46" s="4"/>
    </row>
    <row r="47" spans="1:17" ht="12.75">
      <c r="A47">
        <v>240</v>
      </c>
      <c r="B47">
        <f t="shared" si="4"/>
        <v>2.5941037930749524</v>
      </c>
      <c r="C47">
        <v>11660</v>
      </c>
      <c r="D47">
        <v>1810</v>
      </c>
      <c r="E47">
        <v>8</v>
      </c>
      <c r="F47">
        <v>201</v>
      </c>
      <c r="G47">
        <f t="shared" si="5"/>
        <v>0.11956617901234567</v>
      </c>
      <c r="N47" s="4">
        <f t="shared" si="6"/>
        <v>1.67</v>
      </c>
      <c r="O47" s="4">
        <f t="shared" si="7"/>
        <v>0.4954732118999998</v>
      </c>
      <c r="P47" s="4"/>
      <c r="Q47" s="4"/>
    </row>
    <row r="48" spans="14:17" ht="12.75">
      <c r="N48" s="4">
        <f t="shared" si="6"/>
        <v>1.68</v>
      </c>
      <c r="O48" s="4">
        <f t="shared" si="7"/>
        <v>0.4903441216000002</v>
      </c>
      <c r="P48" s="4"/>
      <c r="Q48" s="4"/>
    </row>
    <row r="49" spans="14:17" ht="12.75">
      <c r="N49" s="4"/>
      <c r="O49" s="4"/>
      <c r="P49" s="4"/>
      <c r="Q49" s="4"/>
    </row>
    <row r="50" spans="14:17" ht="12.75">
      <c r="N50" s="4"/>
      <c r="O50" s="4"/>
      <c r="P50" s="4"/>
      <c r="Q50" s="4"/>
    </row>
    <row r="51" spans="1:17" ht="12.75">
      <c r="A51" t="s">
        <v>11</v>
      </c>
      <c r="B51" t="s">
        <v>24</v>
      </c>
      <c r="N51" s="4"/>
      <c r="O51" s="4"/>
      <c r="P51" s="4"/>
      <c r="Q51" s="4"/>
    </row>
    <row r="52" spans="14:17" ht="12.75">
      <c r="N52" s="4"/>
      <c r="O52" s="4"/>
      <c r="P52" s="4"/>
      <c r="Q52" s="4"/>
    </row>
    <row r="53" spans="1:17" ht="12.75">
      <c r="A53" t="s">
        <v>0</v>
      </c>
      <c r="B53" t="s">
        <v>1</v>
      </c>
      <c r="C53" t="s">
        <v>2</v>
      </c>
      <c r="D53" t="s">
        <v>3</v>
      </c>
      <c r="E53" t="s">
        <v>4</v>
      </c>
      <c r="F53" t="s">
        <v>5</v>
      </c>
      <c r="G53" t="s">
        <v>6</v>
      </c>
      <c r="N53" s="4"/>
      <c r="O53" s="4"/>
      <c r="P53" s="4"/>
      <c r="Q53" s="4"/>
    </row>
    <row r="54" spans="1:17" ht="12.75">
      <c r="A54">
        <v>85</v>
      </c>
      <c r="B54">
        <f aca="true" t="shared" si="8" ref="B54:B61">(A54-offset)/gain</f>
        <v>0.9929964465746631</v>
      </c>
      <c r="C54">
        <v>64964</v>
      </c>
      <c r="D54">
        <v>1819</v>
      </c>
      <c r="E54">
        <v>55</v>
      </c>
      <c r="F54">
        <v>1371</v>
      </c>
      <c r="G54">
        <f aca="true" t="shared" si="9" ref="G54:G61">1.019459*(E54+F54)/(D54-14*2)</f>
        <v>0.8116965572305973</v>
      </c>
      <c r="N54" s="4"/>
      <c r="O54" s="4"/>
      <c r="P54" s="4"/>
      <c r="Q54" s="4"/>
    </row>
    <row r="55" spans="1:17" ht="12.75">
      <c r="A55" s="1">
        <v>100</v>
      </c>
      <c r="B55">
        <f t="shared" si="8"/>
        <v>1.1479423188166267</v>
      </c>
      <c r="C55">
        <v>56288</v>
      </c>
      <c r="D55">
        <v>1844</v>
      </c>
      <c r="E55">
        <v>36</v>
      </c>
      <c r="F55">
        <v>1321</v>
      </c>
      <c r="G55">
        <f t="shared" si="9"/>
        <v>0.7617873694933921</v>
      </c>
      <c r="N55" s="4">
        <v>1.8</v>
      </c>
      <c r="O55" s="4">
        <f>0.1061*N55^3-0.6136*N55^2+0.7281*N55+0.5859</f>
        <v>0.5271912</v>
      </c>
      <c r="P55" s="4"/>
      <c r="Q55" s="4"/>
    </row>
    <row r="56" spans="1:17" ht="12.75">
      <c r="A56">
        <v>120</v>
      </c>
      <c r="B56">
        <f t="shared" si="8"/>
        <v>1.3545368151392445</v>
      </c>
      <c r="C56">
        <v>46470</v>
      </c>
      <c r="D56">
        <v>1867</v>
      </c>
      <c r="E56">
        <v>49</v>
      </c>
      <c r="F56">
        <v>1250</v>
      </c>
      <c r="G56">
        <f t="shared" si="9"/>
        <v>0.7201072544861337</v>
      </c>
      <c r="N56" s="4">
        <f aca="true" t="shared" si="10" ref="N56:N62">N55+0.01</f>
        <v>1.81</v>
      </c>
      <c r="O56" s="4">
        <f aca="true" t="shared" si="11" ref="O56:O62">0.1061*N56^3-0.6136*N56^2+0.7281*N56+0.5859</f>
        <v>0.5226915600999996</v>
      </c>
      <c r="P56" s="4"/>
      <c r="Q56" s="4"/>
    </row>
    <row r="57" spans="1:17" ht="12.75">
      <c r="A57">
        <v>150</v>
      </c>
      <c r="B57">
        <f t="shared" si="8"/>
        <v>1.6644285596231714</v>
      </c>
      <c r="C57">
        <v>35324</v>
      </c>
      <c r="D57">
        <v>1918</v>
      </c>
      <c r="E57">
        <v>39</v>
      </c>
      <c r="F57">
        <v>1054</v>
      </c>
      <c r="G57">
        <f t="shared" si="9"/>
        <v>0.5895601518518517</v>
      </c>
      <c r="N57" s="4">
        <f t="shared" si="10"/>
        <v>1.82</v>
      </c>
      <c r="O57" s="4">
        <f t="shared" si="11"/>
        <v>0.5181844247999997</v>
      </c>
      <c r="P57" s="4"/>
      <c r="Q57" s="4"/>
    </row>
    <row r="58" spans="1:17" ht="12.75">
      <c r="A58">
        <v>180</v>
      </c>
      <c r="B58">
        <f t="shared" si="8"/>
        <v>1.9743203041070985</v>
      </c>
      <c r="C58">
        <v>27699</v>
      </c>
      <c r="D58">
        <v>1819</v>
      </c>
      <c r="E58">
        <v>28</v>
      </c>
      <c r="F58">
        <v>745</v>
      </c>
      <c r="G58">
        <f t="shared" si="9"/>
        <v>0.44000100893355665</v>
      </c>
      <c r="N58" s="4">
        <f t="shared" si="10"/>
        <v>1.83</v>
      </c>
      <c r="O58" s="4">
        <f t="shared" si="11"/>
        <v>0.5136704306999998</v>
      </c>
      <c r="P58" s="4"/>
      <c r="Q58" s="4"/>
    </row>
    <row r="59" spans="1:17" ht="12.75">
      <c r="A59">
        <v>210</v>
      </c>
      <c r="B59">
        <f t="shared" si="8"/>
        <v>2.284212048591025</v>
      </c>
      <c r="C59">
        <v>20138</v>
      </c>
      <c r="D59">
        <v>1856</v>
      </c>
      <c r="E59">
        <v>20</v>
      </c>
      <c r="F59">
        <v>541</v>
      </c>
      <c r="G59">
        <f t="shared" si="9"/>
        <v>0.31286460557986867</v>
      </c>
      <c r="N59" s="4">
        <f t="shared" si="10"/>
        <v>1.84</v>
      </c>
      <c r="O59" s="4">
        <f t="shared" si="11"/>
        <v>0.5091502143999996</v>
      </c>
      <c r="P59" s="4"/>
      <c r="Q59" s="4"/>
    </row>
    <row r="60" spans="1:17" ht="12.75">
      <c r="A60">
        <v>240</v>
      </c>
      <c r="B60">
        <f t="shared" si="8"/>
        <v>2.5941037930749524</v>
      </c>
      <c r="C60">
        <v>15698</v>
      </c>
      <c r="D60">
        <v>1853</v>
      </c>
      <c r="E60">
        <v>16</v>
      </c>
      <c r="F60">
        <v>345</v>
      </c>
      <c r="G60">
        <f t="shared" si="9"/>
        <v>0.20165736931506847</v>
      </c>
      <c r="N60" s="5">
        <v>1.86</v>
      </c>
      <c r="O60" s="4">
        <f t="shared" si="11"/>
        <v>0.5000936615999997</v>
      </c>
      <c r="P60" s="4"/>
      <c r="Q60" s="4"/>
    </row>
    <row r="61" spans="1:17" ht="12.75">
      <c r="A61">
        <v>270</v>
      </c>
      <c r="B61">
        <f t="shared" si="8"/>
        <v>2.9039955375588793</v>
      </c>
      <c r="C61">
        <v>12245</v>
      </c>
      <c r="D61">
        <v>1823</v>
      </c>
      <c r="E61">
        <v>7</v>
      </c>
      <c r="F61">
        <v>208</v>
      </c>
      <c r="G61">
        <f t="shared" si="9"/>
        <v>0.12210790250696377</v>
      </c>
      <c r="N61" s="4">
        <f t="shared" si="10"/>
        <v>1.87</v>
      </c>
      <c r="O61" s="4">
        <f t="shared" si="11"/>
        <v>0.4955585982999998</v>
      </c>
      <c r="P61" s="4"/>
      <c r="Q61" s="4"/>
    </row>
    <row r="62" spans="14:17" ht="12.75">
      <c r="N62" s="4">
        <f t="shared" si="10"/>
        <v>1.8800000000000001</v>
      </c>
      <c r="O62" s="4">
        <f t="shared" si="11"/>
        <v>0.49101985919999935</v>
      </c>
      <c r="P62" s="4"/>
      <c r="Q62" s="4"/>
    </row>
    <row r="63" spans="14:17" ht="12.75">
      <c r="N63" s="4"/>
      <c r="O63" s="4"/>
      <c r="P63" s="4"/>
      <c r="Q63" s="4"/>
    </row>
    <row r="66" spans="1:4" ht="12.75">
      <c r="A66" t="s">
        <v>13</v>
      </c>
      <c r="B66" t="s">
        <v>25</v>
      </c>
      <c r="C66" s="3"/>
      <c r="D66" s="3"/>
    </row>
    <row r="68" spans="1:15" ht="12.75">
      <c r="A68" t="s">
        <v>0</v>
      </c>
      <c r="B68" t="s">
        <v>1</v>
      </c>
      <c r="C68" t="s">
        <v>2</v>
      </c>
      <c r="D68" t="s">
        <v>3</v>
      </c>
      <c r="E68" t="s">
        <v>4</v>
      </c>
      <c r="F68" t="s">
        <v>5</v>
      </c>
      <c r="G68" t="s">
        <v>6</v>
      </c>
      <c r="N68">
        <v>2</v>
      </c>
      <c r="O68">
        <f>0.1007*N68^3-0.6466*N68^2+0.9647*N68+0.3648</f>
        <v>0.5134000000000003</v>
      </c>
    </row>
    <row r="69" spans="1:15" ht="12.75">
      <c r="A69">
        <v>85</v>
      </c>
      <c r="B69">
        <f aca="true" t="shared" si="12" ref="B69:B77">(A69-offset)/gain</f>
        <v>0.9929964465746631</v>
      </c>
      <c r="C69">
        <v>70223</v>
      </c>
      <c r="D69">
        <v>1837</v>
      </c>
      <c r="E69">
        <v>57</v>
      </c>
      <c r="F69">
        <v>1345</v>
      </c>
      <c r="G69">
        <f aca="true" t="shared" si="13" ref="G69:G77">1.019459*(E69+F69)/(D69-14*2)</f>
        <v>0.7900948137092315</v>
      </c>
      <c r="N69" s="4">
        <f aca="true" t="shared" si="14" ref="N69:N77">N68+0.01</f>
        <v>2.01</v>
      </c>
      <c r="O69">
        <f aca="true" t="shared" si="15" ref="O69:O77">0.1007*N69^3-0.6466*N69^2+0.9647*N69+0.3648</f>
        <v>0.5092628607000003</v>
      </c>
    </row>
    <row r="70" spans="1:15" ht="12.75">
      <c r="A70" s="1">
        <v>100</v>
      </c>
      <c r="B70">
        <f t="shared" si="12"/>
        <v>1.1479423188166267</v>
      </c>
      <c r="C70">
        <v>59755</v>
      </c>
      <c r="D70">
        <v>1744</v>
      </c>
      <c r="E70">
        <v>32</v>
      </c>
      <c r="F70">
        <v>1256</v>
      </c>
      <c r="G70">
        <f t="shared" si="13"/>
        <v>0.7651883403263402</v>
      </c>
      <c r="N70" s="4">
        <f t="shared" si="14"/>
        <v>2.0199999999999996</v>
      </c>
      <c r="O70">
        <f t="shared" si="15"/>
        <v>0.5051178456000001</v>
      </c>
    </row>
    <row r="71" spans="1:15" ht="12.75">
      <c r="A71">
        <v>120</v>
      </c>
      <c r="B71">
        <f t="shared" si="12"/>
        <v>1.3545368151392445</v>
      </c>
      <c r="C71">
        <v>50671</v>
      </c>
      <c r="D71">
        <v>1838</v>
      </c>
      <c r="E71">
        <v>35</v>
      </c>
      <c r="F71">
        <v>1258</v>
      </c>
      <c r="G71">
        <f t="shared" si="13"/>
        <v>0.7282654624309391</v>
      </c>
      <c r="N71" s="4">
        <f t="shared" si="14"/>
        <v>2.0299999999999994</v>
      </c>
      <c r="O71">
        <f t="shared" si="15"/>
        <v>0.5009655589000006</v>
      </c>
    </row>
    <row r="72" spans="1:15" ht="12.75">
      <c r="A72">
        <v>150</v>
      </c>
      <c r="B72">
        <f t="shared" si="12"/>
        <v>1.6644285596231714</v>
      </c>
      <c r="C72">
        <v>39154</v>
      </c>
      <c r="D72">
        <v>1743</v>
      </c>
      <c r="E72">
        <v>30</v>
      </c>
      <c r="F72">
        <v>1071</v>
      </c>
      <c r="G72">
        <f t="shared" si="13"/>
        <v>0.6544748448979592</v>
      </c>
      <c r="N72" s="4">
        <f t="shared" si="14"/>
        <v>2.039999999999999</v>
      </c>
      <c r="O72">
        <f t="shared" si="15"/>
        <v>0.4968066048000006</v>
      </c>
    </row>
    <row r="73" spans="1:16" ht="12.75">
      <c r="A73">
        <v>180</v>
      </c>
      <c r="B73">
        <f t="shared" si="12"/>
        <v>1.9743203041070985</v>
      </c>
      <c r="C73">
        <v>30913</v>
      </c>
      <c r="D73">
        <v>1775</v>
      </c>
      <c r="E73">
        <v>29</v>
      </c>
      <c r="F73">
        <v>874</v>
      </c>
      <c r="G73">
        <f t="shared" si="13"/>
        <v>0.5269441768746422</v>
      </c>
      <c r="N73" s="5">
        <v>2.03</v>
      </c>
      <c r="O73">
        <f t="shared" si="15"/>
        <v>0.5009655589000006</v>
      </c>
      <c r="P73" s="2"/>
    </row>
    <row r="74" spans="1:15" ht="12.75">
      <c r="A74">
        <v>210</v>
      </c>
      <c r="B74">
        <f t="shared" si="12"/>
        <v>2.284212048591025</v>
      </c>
      <c r="C74">
        <v>24283</v>
      </c>
      <c r="D74">
        <v>1749</v>
      </c>
      <c r="E74">
        <v>23</v>
      </c>
      <c r="F74">
        <v>633</v>
      </c>
      <c r="G74">
        <f t="shared" si="13"/>
        <v>0.38859099593259727</v>
      </c>
      <c r="N74" s="4">
        <f t="shared" si="14"/>
        <v>2.0399999999999996</v>
      </c>
      <c r="O74">
        <f t="shared" si="15"/>
        <v>0.49680660480000016</v>
      </c>
    </row>
    <row r="75" spans="1:15" ht="12.75">
      <c r="A75">
        <v>240</v>
      </c>
      <c r="B75">
        <f t="shared" si="12"/>
        <v>2.5941037930749524</v>
      </c>
      <c r="C75">
        <v>18950</v>
      </c>
      <c r="D75">
        <v>1853</v>
      </c>
      <c r="E75">
        <v>17</v>
      </c>
      <c r="F75">
        <v>463</v>
      </c>
      <c r="G75">
        <f t="shared" si="13"/>
        <v>0.2681316821917808</v>
      </c>
      <c r="N75" s="4">
        <f t="shared" si="14"/>
        <v>2.0499999999999994</v>
      </c>
      <c r="O75">
        <f t="shared" si="15"/>
        <v>0.49264158750000075</v>
      </c>
    </row>
    <row r="76" spans="1:15" ht="12.75">
      <c r="A76">
        <v>270</v>
      </c>
      <c r="B76">
        <f t="shared" si="12"/>
        <v>2.9039955375588793</v>
      </c>
      <c r="C76">
        <v>16641</v>
      </c>
      <c r="D76">
        <v>1802</v>
      </c>
      <c r="E76">
        <v>14</v>
      </c>
      <c r="F76">
        <v>311</v>
      </c>
      <c r="G76">
        <f t="shared" si="13"/>
        <v>0.1867667277339346</v>
      </c>
      <c r="N76" s="4">
        <f t="shared" si="14"/>
        <v>2.059999999999999</v>
      </c>
      <c r="O76">
        <f t="shared" si="15"/>
        <v>0.48847111120000064</v>
      </c>
    </row>
    <row r="77" spans="1:15" ht="12.75">
      <c r="A77">
        <v>300</v>
      </c>
      <c r="B77">
        <f t="shared" si="12"/>
        <v>3.213887282042806</v>
      </c>
      <c r="C77">
        <v>11739</v>
      </c>
      <c r="D77">
        <v>1924</v>
      </c>
      <c r="E77">
        <v>17</v>
      </c>
      <c r="F77">
        <v>218</v>
      </c>
      <c r="G77">
        <f t="shared" si="13"/>
        <v>0.12635699630801686</v>
      </c>
      <c r="N77" s="4">
        <f t="shared" si="14"/>
        <v>2.069999999999999</v>
      </c>
      <c r="O77">
        <f t="shared" si="15"/>
        <v>0.48429578010000074</v>
      </c>
    </row>
    <row r="82" spans="1:4" ht="12.75">
      <c r="A82" t="s">
        <v>26</v>
      </c>
      <c r="C82" s="3"/>
      <c r="D82" s="3"/>
    </row>
    <row r="84" spans="1:7" ht="12.75">
      <c r="A84" t="s">
        <v>0</v>
      </c>
      <c r="B84" t="s">
        <v>1</v>
      </c>
      <c r="C84" t="s">
        <v>2</v>
      </c>
      <c r="D84" t="s">
        <v>3</v>
      </c>
      <c r="E84" t="s">
        <v>4</v>
      </c>
      <c r="F84" t="s">
        <v>5</v>
      </c>
      <c r="G84" t="s">
        <v>6</v>
      </c>
    </row>
    <row r="85" spans="1:7" ht="12.75">
      <c r="A85">
        <v>85</v>
      </c>
      <c r="B85">
        <f aca="true" t="shared" si="16" ref="B85:B93">(A85-offset)/gain</f>
        <v>0.9929964465746631</v>
      </c>
      <c r="C85">
        <v>75838</v>
      </c>
      <c r="D85">
        <v>1769</v>
      </c>
      <c r="E85">
        <v>49</v>
      </c>
      <c r="F85">
        <v>1307</v>
      </c>
      <c r="G85">
        <f aca="true" t="shared" si="17" ref="G85:G93">1.019459*(E85+F85)/(D85-14*2)</f>
        <v>0.7940186122917863</v>
      </c>
    </row>
    <row r="86" spans="1:15" ht="12.75">
      <c r="A86">
        <v>120</v>
      </c>
      <c r="B86">
        <f t="shared" si="16"/>
        <v>1.3545368151392445</v>
      </c>
      <c r="C86">
        <v>56818</v>
      </c>
      <c r="D86">
        <v>1810</v>
      </c>
      <c r="E86">
        <v>43</v>
      </c>
      <c r="F86">
        <v>1333</v>
      </c>
      <c r="G86">
        <f t="shared" si="17"/>
        <v>0.7871916857463522</v>
      </c>
      <c r="N86">
        <v>2.2</v>
      </c>
      <c r="O86">
        <f>0.0632*N86^3-0.4422*N86^2+0.6658*N86+0.5164</f>
        <v>0.5138656000000001</v>
      </c>
    </row>
    <row r="87" spans="1:15" ht="12.75">
      <c r="A87">
        <v>150</v>
      </c>
      <c r="B87">
        <f t="shared" si="16"/>
        <v>1.6644285596231714</v>
      </c>
      <c r="C87">
        <v>44756</v>
      </c>
      <c r="D87">
        <v>1801</v>
      </c>
      <c r="E87">
        <v>42</v>
      </c>
      <c r="F87">
        <v>1149</v>
      </c>
      <c r="G87">
        <f t="shared" si="17"/>
        <v>0.6848142521150592</v>
      </c>
      <c r="N87" s="5">
        <v>2.24</v>
      </c>
      <c r="O87">
        <f aca="true" t="shared" si="18" ref="O87:O93">0.0632*N87^3-0.4422*N87^2+0.6658*N87+0.5164</f>
        <v>0.49934087680000006</v>
      </c>
    </row>
    <row r="88" spans="1:15" ht="12.75">
      <c r="A88">
        <v>180</v>
      </c>
      <c r="B88">
        <f t="shared" si="16"/>
        <v>1.9743203041070985</v>
      </c>
      <c r="C88">
        <v>36730</v>
      </c>
      <c r="D88">
        <v>1825</v>
      </c>
      <c r="E88">
        <v>27</v>
      </c>
      <c r="F88">
        <v>995</v>
      </c>
      <c r="G88">
        <f t="shared" si="17"/>
        <v>0.5797924863661658</v>
      </c>
      <c r="N88" s="4">
        <f aca="true" t="shared" si="19" ref="N88:N93">N87+0.01</f>
        <v>2.25</v>
      </c>
      <c r="O88">
        <f t="shared" si="18"/>
        <v>0.49570000000000003</v>
      </c>
    </row>
    <row r="89" spans="1:15" ht="12.75">
      <c r="A89">
        <v>210</v>
      </c>
      <c r="B89">
        <f t="shared" si="16"/>
        <v>2.284212048591025</v>
      </c>
      <c r="C89">
        <v>29700</v>
      </c>
      <c r="D89">
        <v>1799</v>
      </c>
      <c r="E89">
        <v>20</v>
      </c>
      <c r="F89">
        <v>820</v>
      </c>
      <c r="G89">
        <f t="shared" si="17"/>
        <v>0.48353786561264817</v>
      </c>
      <c r="N89" s="4">
        <f t="shared" si="19"/>
        <v>2.26</v>
      </c>
      <c r="O89">
        <f t="shared" si="18"/>
        <v>0.49205600319999987</v>
      </c>
    </row>
    <row r="90" spans="1:15" ht="12.75">
      <c r="A90">
        <v>240</v>
      </c>
      <c r="B90">
        <f t="shared" si="16"/>
        <v>2.5941037930749524</v>
      </c>
      <c r="C90">
        <v>24060</v>
      </c>
      <c r="D90">
        <v>1802</v>
      </c>
      <c r="E90">
        <v>21</v>
      </c>
      <c r="F90">
        <v>629</v>
      </c>
      <c r="G90">
        <f t="shared" si="17"/>
        <v>0.3735334554678692</v>
      </c>
      <c r="N90" s="4">
        <f t="shared" si="19"/>
        <v>2.2699999999999996</v>
      </c>
      <c r="O90">
        <f t="shared" si="18"/>
        <v>0.4884092656000003</v>
      </c>
    </row>
    <row r="91" spans="1:15" ht="12.75">
      <c r="A91">
        <v>270</v>
      </c>
      <c r="B91">
        <f t="shared" si="16"/>
        <v>2.9039955375588793</v>
      </c>
      <c r="C91">
        <v>19377</v>
      </c>
      <c r="D91">
        <v>1846</v>
      </c>
      <c r="E91">
        <v>19</v>
      </c>
      <c r="F91">
        <v>459</v>
      </c>
      <c r="G91">
        <f t="shared" si="17"/>
        <v>0.26804257535753573</v>
      </c>
      <c r="N91" s="4">
        <f t="shared" si="19"/>
        <v>2.2799999999999994</v>
      </c>
      <c r="O91">
        <f t="shared" si="18"/>
        <v>0.4847601664000001</v>
      </c>
    </row>
    <row r="92" spans="1:15" ht="12.75">
      <c r="A92">
        <v>300</v>
      </c>
      <c r="B92">
        <f t="shared" si="16"/>
        <v>3.213887282042806</v>
      </c>
      <c r="C92">
        <v>15170</v>
      </c>
      <c r="D92">
        <v>1806</v>
      </c>
      <c r="E92">
        <v>12</v>
      </c>
      <c r="F92">
        <v>325</v>
      </c>
      <c r="G92">
        <f t="shared" si="17"/>
        <v>0.1932270433070866</v>
      </c>
      <c r="N92" s="4">
        <f t="shared" si="19"/>
        <v>2.289999999999999</v>
      </c>
      <c r="O92">
        <f t="shared" si="18"/>
        <v>0.48110908480000014</v>
      </c>
    </row>
    <row r="93" spans="1:15" ht="12.75">
      <c r="A93">
        <v>330</v>
      </c>
      <c r="B93">
        <f t="shared" si="16"/>
        <v>3.523779026526733</v>
      </c>
      <c r="C93">
        <v>12289</v>
      </c>
      <c r="D93">
        <v>1819</v>
      </c>
      <c r="E93">
        <v>8</v>
      </c>
      <c r="F93">
        <v>223</v>
      </c>
      <c r="G93">
        <f t="shared" si="17"/>
        <v>0.13148801172529312</v>
      </c>
      <c r="N93" s="4">
        <f t="shared" si="19"/>
        <v>2.299999999999999</v>
      </c>
      <c r="O93">
        <f t="shared" si="18"/>
        <v>0.47745640000000034</v>
      </c>
    </row>
    <row r="96" spans="1:4" ht="12.75">
      <c r="A96" t="s">
        <v>28</v>
      </c>
      <c r="B96" t="s">
        <v>29</v>
      </c>
      <c r="C96" s="3"/>
      <c r="D96" s="3"/>
    </row>
    <row r="98" spans="1:7" ht="12.75">
      <c r="A98" t="s">
        <v>0</v>
      </c>
      <c r="B98" t="s">
        <v>1</v>
      </c>
      <c r="C98" t="s">
        <v>2</v>
      </c>
      <c r="D98" t="s">
        <v>3</v>
      </c>
      <c r="E98" t="s">
        <v>4</v>
      </c>
      <c r="F98" t="s">
        <v>5</v>
      </c>
      <c r="G98" t="s">
        <v>6</v>
      </c>
    </row>
    <row r="99" spans="1:15" ht="12.75">
      <c r="A99">
        <v>85</v>
      </c>
      <c r="B99">
        <f aca="true" t="shared" si="20" ref="B99:B105">(A99-offset)/gain</f>
        <v>0.9929964465746631</v>
      </c>
      <c r="C99">
        <v>78340</v>
      </c>
      <c r="D99">
        <v>1824</v>
      </c>
      <c r="E99">
        <v>45</v>
      </c>
      <c r="F99">
        <v>1372</v>
      </c>
      <c r="G99">
        <f aca="true" t="shared" si="21" ref="G99:G105">1.019459*(E99+F99)/(D99-14*2)</f>
        <v>0.804328175389755</v>
      </c>
      <c r="N99">
        <v>2.35</v>
      </c>
      <c r="O99">
        <f>0.0743*N99^3-0.5307*N99^2+0.8982*N99+0.3646</f>
        <v>0.5088353624999999</v>
      </c>
    </row>
    <row r="100" spans="1:15" ht="12.75">
      <c r="A100">
        <v>150</v>
      </c>
      <c r="B100">
        <f t="shared" si="20"/>
        <v>1.6644285596231714</v>
      </c>
      <c r="C100">
        <v>47808</v>
      </c>
      <c r="D100">
        <v>1856</v>
      </c>
      <c r="E100">
        <v>42</v>
      </c>
      <c r="F100">
        <v>1286</v>
      </c>
      <c r="G100">
        <f t="shared" si="21"/>
        <v>0.7406135404814004</v>
      </c>
      <c r="N100" s="4">
        <f aca="true" t="shared" si="22" ref="N100:N106">N99+0.01</f>
        <v>2.36</v>
      </c>
      <c r="O100">
        <f aca="true" t="shared" si="23" ref="O100:O106">0.0743*N100^3-0.5307*N100^2+0.8982*N100+0.3646</f>
        <v>0.5051835008000005</v>
      </c>
    </row>
    <row r="101" spans="1:15" ht="12.75">
      <c r="A101">
        <v>180</v>
      </c>
      <c r="B101">
        <f t="shared" si="20"/>
        <v>1.9743203041070985</v>
      </c>
      <c r="C101">
        <v>38936</v>
      </c>
      <c r="D101">
        <v>1862</v>
      </c>
      <c r="E101">
        <v>47</v>
      </c>
      <c r="F101">
        <v>1105</v>
      </c>
      <c r="G101">
        <f t="shared" si="21"/>
        <v>0.6403581068702289</v>
      </c>
      <c r="N101" s="4">
        <f t="shared" si="22"/>
        <v>2.3699999999999997</v>
      </c>
      <c r="O101">
        <f t="shared" si="23"/>
        <v>0.5015307079000009</v>
      </c>
    </row>
    <row r="102" spans="1:15" ht="12.75">
      <c r="A102">
        <v>210</v>
      </c>
      <c r="B102">
        <f t="shared" si="20"/>
        <v>2.284212048591025</v>
      </c>
      <c r="C102">
        <v>32036</v>
      </c>
      <c r="D102">
        <v>1792</v>
      </c>
      <c r="E102">
        <v>25</v>
      </c>
      <c r="F102">
        <v>866</v>
      </c>
      <c r="G102">
        <f t="shared" si="21"/>
        <v>0.5149308214285714</v>
      </c>
      <c r="N102" s="4">
        <f t="shared" si="22"/>
        <v>2.3799999999999994</v>
      </c>
      <c r="O102">
        <f t="shared" si="23"/>
        <v>0.49787742960000053</v>
      </c>
    </row>
    <row r="103" spans="1:15" ht="12.75">
      <c r="A103">
        <v>240</v>
      </c>
      <c r="B103">
        <f t="shared" si="20"/>
        <v>2.5941037930749524</v>
      </c>
      <c r="C103">
        <v>26487</v>
      </c>
      <c r="D103">
        <v>1750</v>
      </c>
      <c r="E103">
        <v>18</v>
      </c>
      <c r="F103">
        <v>713</v>
      </c>
      <c r="G103">
        <f t="shared" si="21"/>
        <v>0.4327668577235772</v>
      </c>
      <c r="N103" s="4">
        <f t="shared" si="22"/>
        <v>2.3899999999999992</v>
      </c>
      <c r="O103">
        <f t="shared" si="23"/>
        <v>0.4942241117000005</v>
      </c>
    </row>
    <row r="104" spans="1:15" ht="12.75">
      <c r="A104">
        <v>270</v>
      </c>
      <c r="B104">
        <f t="shared" si="20"/>
        <v>2.9039955375588793</v>
      </c>
      <c r="C104">
        <v>22039</v>
      </c>
      <c r="D104">
        <v>1837</v>
      </c>
      <c r="E104">
        <v>16</v>
      </c>
      <c r="F104">
        <v>555</v>
      </c>
      <c r="G104">
        <f t="shared" si="21"/>
        <v>0.3217861188501935</v>
      </c>
      <c r="N104" s="4">
        <f t="shared" si="22"/>
        <v>2.399999999999999</v>
      </c>
      <c r="O104">
        <f t="shared" si="23"/>
        <v>0.4905712000000004</v>
      </c>
    </row>
    <row r="105" spans="1:15" ht="12.75">
      <c r="A105">
        <v>300</v>
      </c>
      <c r="B105">
        <f t="shared" si="20"/>
        <v>3.213887282042806</v>
      </c>
      <c r="C105">
        <v>17552</v>
      </c>
      <c r="D105">
        <v>1905</v>
      </c>
      <c r="E105">
        <v>20</v>
      </c>
      <c r="F105">
        <v>410</v>
      </c>
      <c r="G105">
        <f t="shared" si="21"/>
        <v>0.2335468140649973</v>
      </c>
      <c r="N105" s="5">
        <v>2.37</v>
      </c>
      <c r="O105">
        <f t="shared" si="23"/>
        <v>0.5015307079000002</v>
      </c>
    </row>
    <row r="106" spans="14:15" ht="12.75">
      <c r="N106" s="4">
        <f t="shared" si="22"/>
        <v>2.38</v>
      </c>
      <c r="O106">
        <f t="shared" si="23"/>
        <v>0.4978774296000001</v>
      </c>
    </row>
    <row r="107" ht="12.75">
      <c r="N107" s="4"/>
    </row>
    <row r="108" ht="12.75">
      <c r="N108" s="4"/>
    </row>
    <row r="111" spans="1:4" ht="12.75">
      <c r="A111" t="s">
        <v>15</v>
      </c>
      <c r="B111" t="s">
        <v>30</v>
      </c>
      <c r="C111" s="3"/>
      <c r="D111" s="3"/>
    </row>
    <row r="113" spans="1:7" ht="12.75">
      <c r="A113" t="s">
        <v>0</v>
      </c>
      <c r="B113" t="s">
        <v>1</v>
      </c>
      <c r="C113" t="s">
        <v>2</v>
      </c>
      <c r="D113" t="s">
        <v>3</v>
      </c>
      <c r="E113" t="s">
        <v>4</v>
      </c>
      <c r="F113" t="s">
        <v>5</v>
      </c>
      <c r="G113" t="s">
        <v>6</v>
      </c>
    </row>
    <row r="114" spans="1:7" ht="12.75">
      <c r="A114">
        <v>85</v>
      </c>
      <c r="B114">
        <f aca="true" t="shared" si="24" ref="B114:B121">(A114-offset)/gain</f>
        <v>0.9929964465746631</v>
      </c>
      <c r="C114">
        <v>79854</v>
      </c>
      <c r="D114">
        <v>1865</v>
      </c>
      <c r="E114">
        <v>46</v>
      </c>
      <c r="F114">
        <v>1358</v>
      </c>
      <c r="G114">
        <f aca="true" t="shared" si="25" ref="G114:G121">1.019459*(E114+F114)/(D114-14*2)</f>
        <v>0.7791619139902013</v>
      </c>
    </row>
    <row r="115" spans="1:15" ht="12.75">
      <c r="A115">
        <v>150</v>
      </c>
      <c r="B115">
        <f t="shared" si="24"/>
        <v>1.6644285596231714</v>
      </c>
      <c r="C115">
        <v>49891</v>
      </c>
      <c r="D115">
        <v>1825</v>
      </c>
      <c r="E115">
        <v>42</v>
      </c>
      <c r="F115">
        <v>1227</v>
      </c>
      <c r="G115">
        <f t="shared" si="25"/>
        <v>0.7199184590984974</v>
      </c>
      <c r="N115">
        <v>2.4</v>
      </c>
      <c r="O115">
        <f>0.0332*N115^3-0.2747*N115^2+0.4425*N115+0.5799</f>
        <v>0.5185848000000001</v>
      </c>
    </row>
    <row r="116" spans="1:15" ht="12.75">
      <c r="A116">
        <v>180</v>
      </c>
      <c r="B116">
        <f t="shared" si="24"/>
        <v>1.9743203041070985</v>
      </c>
      <c r="C116">
        <v>40846</v>
      </c>
      <c r="D116">
        <v>1884</v>
      </c>
      <c r="E116">
        <v>33</v>
      </c>
      <c r="F116">
        <v>1113</v>
      </c>
      <c r="G116">
        <f t="shared" si="25"/>
        <v>0.6294719903017241</v>
      </c>
      <c r="N116" s="4">
        <f aca="true" t="shared" si="26" ref="N116:N121">N115+0.01</f>
        <v>2.4099999999999997</v>
      </c>
      <c r="O116">
        <f aca="true" t="shared" si="27" ref="O116:O121">0.0332*N116^3-0.2747*N116^2+0.4425*N116+0.5799</f>
        <v>0.5155576272000001</v>
      </c>
    </row>
    <row r="117" spans="1:15" ht="12.75">
      <c r="A117">
        <v>210</v>
      </c>
      <c r="B117">
        <f t="shared" si="24"/>
        <v>2.284212048591025</v>
      </c>
      <c r="C117">
        <v>33747</v>
      </c>
      <c r="D117">
        <v>1827</v>
      </c>
      <c r="E117">
        <v>23</v>
      </c>
      <c r="F117">
        <v>938</v>
      </c>
      <c r="G117">
        <f t="shared" si="25"/>
        <v>0.5445803774319066</v>
      </c>
      <c r="N117" s="4">
        <f t="shared" si="26"/>
        <v>2.4199999999999995</v>
      </c>
      <c r="O117">
        <f t="shared" si="27"/>
        <v>0.5125235216000003</v>
      </c>
    </row>
    <row r="118" spans="1:15" ht="12.75">
      <c r="A118">
        <v>240</v>
      </c>
      <c r="B118">
        <f t="shared" si="24"/>
        <v>2.5941037930749524</v>
      </c>
      <c r="C118">
        <v>28322</v>
      </c>
      <c r="D118">
        <v>1789</v>
      </c>
      <c r="E118">
        <v>21</v>
      </c>
      <c r="F118">
        <v>789</v>
      </c>
      <c r="G118">
        <f t="shared" si="25"/>
        <v>0.46891640545144797</v>
      </c>
      <c r="N118" s="4">
        <f t="shared" si="26"/>
        <v>2.4299999999999993</v>
      </c>
      <c r="O118">
        <f t="shared" si="27"/>
        <v>0.5094826824000002</v>
      </c>
    </row>
    <row r="119" spans="1:15" ht="12.75">
      <c r="A119">
        <v>270</v>
      </c>
      <c r="B119">
        <f t="shared" si="24"/>
        <v>2.9039955375588793</v>
      </c>
      <c r="C119">
        <v>23865</v>
      </c>
      <c r="D119">
        <v>1921</v>
      </c>
      <c r="E119">
        <v>11</v>
      </c>
      <c r="F119">
        <v>658</v>
      </c>
      <c r="G119">
        <f t="shared" si="25"/>
        <v>0.3602842424722662</v>
      </c>
      <c r="N119" s="4">
        <f t="shared" si="26"/>
        <v>2.439999999999999</v>
      </c>
      <c r="O119">
        <f t="shared" si="27"/>
        <v>0.5064353088000003</v>
      </c>
    </row>
    <row r="120" spans="1:15" ht="12.75">
      <c r="A120">
        <v>300</v>
      </c>
      <c r="B120">
        <f t="shared" si="24"/>
        <v>3.213887282042806</v>
      </c>
      <c r="C120">
        <v>19648</v>
      </c>
      <c r="D120">
        <v>1870</v>
      </c>
      <c r="E120">
        <v>13</v>
      </c>
      <c r="F120">
        <v>474</v>
      </c>
      <c r="G120">
        <f t="shared" si="25"/>
        <v>0.2695312339847991</v>
      </c>
      <c r="N120" s="5">
        <v>2.46</v>
      </c>
      <c r="O120">
        <f t="shared" si="27"/>
        <v>0.5003217551999998</v>
      </c>
    </row>
    <row r="121" spans="1:15" ht="12.75">
      <c r="A121">
        <v>330</v>
      </c>
      <c r="B121">
        <f t="shared" si="24"/>
        <v>3.523779026526733</v>
      </c>
      <c r="C121">
        <v>15780</v>
      </c>
      <c r="D121">
        <v>1922</v>
      </c>
      <c r="E121">
        <v>11</v>
      </c>
      <c r="F121">
        <v>324</v>
      </c>
      <c r="G121">
        <f t="shared" si="25"/>
        <v>0.18031613780359027</v>
      </c>
      <c r="N121" s="4">
        <f t="shared" si="26"/>
        <v>2.4699999999999998</v>
      </c>
      <c r="O121">
        <f t="shared" si="27"/>
        <v>0.49725597360000007</v>
      </c>
    </row>
    <row r="126" spans="1:4" ht="12.75">
      <c r="A126" t="s">
        <v>31</v>
      </c>
      <c r="B126" t="s">
        <v>30</v>
      </c>
      <c r="C126" s="3"/>
      <c r="D126" s="3"/>
    </row>
    <row r="128" spans="1:7" ht="12.75">
      <c r="A128" t="s">
        <v>0</v>
      </c>
      <c r="B128" t="s">
        <v>1</v>
      </c>
      <c r="C128" t="s">
        <v>2</v>
      </c>
      <c r="D128" t="s">
        <v>3</v>
      </c>
      <c r="E128" t="s">
        <v>4</v>
      </c>
      <c r="F128" t="s">
        <v>5</v>
      </c>
      <c r="G128" t="s">
        <v>6</v>
      </c>
    </row>
    <row r="129" spans="1:2" ht="12.75">
      <c r="A129">
        <v>85</v>
      </c>
      <c r="B129">
        <f aca="true" t="shared" si="28" ref="B129:B136">(A129-offset)/gain</f>
        <v>0.9929964465746631</v>
      </c>
    </row>
    <row r="130" spans="1:15" ht="12.75">
      <c r="A130">
        <v>150</v>
      </c>
      <c r="B130">
        <f t="shared" si="28"/>
        <v>1.6644285596231714</v>
      </c>
      <c r="N130">
        <v>2.5</v>
      </c>
      <c r="O130">
        <f>-0.3172*N130+1.3101</f>
        <v>0.5171000000000001</v>
      </c>
    </row>
    <row r="131" spans="1:15" ht="12.75">
      <c r="A131">
        <v>180</v>
      </c>
      <c r="B131">
        <f t="shared" si="28"/>
        <v>1.9743203041070985</v>
      </c>
      <c r="N131" s="4">
        <f>N130+0.01</f>
        <v>2.51</v>
      </c>
      <c r="O131">
        <f aca="true" t="shared" si="29" ref="O131:O136">-0.3172*N131+1.3101</f>
        <v>0.5139280000000002</v>
      </c>
    </row>
    <row r="132" spans="1:15" ht="12.75">
      <c r="A132">
        <v>210</v>
      </c>
      <c r="B132">
        <f t="shared" si="28"/>
        <v>2.284212048591025</v>
      </c>
      <c r="C132">
        <v>34853</v>
      </c>
      <c r="D132">
        <v>1849</v>
      </c>
      <c r="E132">
        <v>40</v>
      </c>
      <c r="F132">
        <v>1006</v>
      </c>
      <c r="G132">
        <f>1.019459*(E132+F132)/(D132-14*2)</f>
        <v>0.5855871026908293</v>
      </c>
      <c r="N132" s="4">
        <f>N131+0.01</f>
        <v>2.5199999999999996</v>
      </c>
      <c r="O132">
        <f t="shared" si="29"/>
        <v>0.5107560000000002</v>
      </c>
    </row>
    <row r="133" spans="1:15" ht="12.75">
      <c r="A133">
        <v>240</v>
      </c>
      <c r="B133">
        <f t="shared" si="28"/>
        <v>2.5941037930749524</v>
      </c>
      <c r="C133">
        <v>29636</v>
      </c>
      <c r="D133">
        <v>1823</v>
      </c>
      <c r="E133">
        <v>28</v>
      </c>
      <c r="F133">
        <v>830</v>
      </c>
      <c r="G133">
        <f>1.019459*(E133+F133)/(D133-14*2)</f>
        <v>0.48729572256267406</v>
      </c>
      <c r="N133" s="4">
        <f>N132+0.01</f>
        <v>2.5299999999999994</v>
      </c>
      <c r="O133">
        <f t="shared" si="29"/>
        <v>0.5075840000000003</v>
      </c>
    </row>
    <row r="134" spans="1:15" ht="12.75">
      <c r="A134">
        <v>270</v>
      </c>
      <c r="B134">
        <f t="shared" si="28"/>
        <v>2.9039955375588793</v>
      </c>
      <c r="N134" s="4">
        <f>N133+0.01</f>
        <v>2.539999999999999</v>
      </c>
      <c r="O134">
        <f t="shared" si="29"/>
        <v>0.5044120000000003</v>
      </c>
    </row>
    <row r="135" spans="1:15" ht="12.75">
      <c r="A135">
        <v>300</v>
      </c>
      <c r="B135">
        <f t="shared" si="28"/>
        <v>3.213887282042806</v>
      </c>
      <c r="N135" s="4">
        <f>N134+0.01</f>
        <v>2.549999999999999</v>
      </c>
      <c r="O135">
        <f t="shared" si="29"/>
        <v>0.5012400000000005</v>
      </c>
    </row>
    <row r="136" spans="1:15" ht="12.75">
      <c r="A136">
        <v>330</v>
      </c>
      <c r="B136">
        <f t="shared" si="28"/>
        <v>3.523779026526733</v>
      </c>
      <c r="N136" s="5">
        <v>2.55</v>
      </c>
      <c r="O136">
        <f t="shared" si="29"/>
        <v>0.5012400000000001</v>
      </c>
    </row>
    <row r="141" spans="1:4" ht="12.75">
      <c r="A141" t="s">
        <v>32</v>
      </c>
      <c r="C141" s="3"/>
      <c r="D141" s="3"/>
    </row>
    <row r="143" spans="1:7" ht="12.75">
      <c r="A143" t="s">
        <v>0</v>
      </c>
      <c r="B143" t="s">
        <v>1</v>
      </c>
      <c r="C143" t="s">
        <v>2</v>
      </c>
      <c r="D143" t="s">
        <v>3</v>
      </c>
      <c r="E143" t="s">
        <v>4</v>
      </c>
      <c r="F143" t="s">
        <v>5</v>
      </c>
      <c r="G143" t="s">
        <v>6</v>
      </c>
    </row>
    <row r="144" spans="1:15" ht="12.75">
      <c r="A144">
        <v>85</v>
      </c>
      <c r="B144">
        <f aca="true" t="shared" si="30" ref="B144:B151">(A144-offset)/gain</f>
        <v>0.9929964465746631</v>
      </c>
      <c r="N144">
        <v>2.55</v>
      </c>
      <c r="O144">
        <f>-0.3605*N144+1.4421</f>
        <v>0.522825</v>
      </c>
    </row>
    <row r="145" spans="1:15" ht="12.75">
      <c r="A145">
        <v>150</v>
      </c>
      <c r="B145">
        <f t="shared" si="30"/>
        <v>1.6644285596231714</v>
      </c>
      <c r="N145" s="4">
        <f aca="true" t="shared" si="31" ref="N145:N151">N144+0.01</f>
        <v>2.5599999999999996</v>
      </c>
      <c r="O145">
        <f aca="true" t="shared" si="32" ref="O145:O151">-0.3605*N145+1.4421</f>
        <v>0.5192200000000001</v>
      </c>
    </row>
    <row r="146" spans="1:15" ht="12.75">
      <c r="A146">
        <v>180</v>
      </c>
      <c r="B146">
        <f t="shared" si="30"/>
        <v>1.9743203041070985</v>
      </c>
      <c r="N146" s="4">
        <f t="shared" si="31"/>
        <v>2.5699999999999994</v>
      </c>
      <c r="O146">
        <f t="shared" si="32"/>
        <v>0.5156150000000002</v>
      </c>
    </row>
    <row r="147" spans="1:15" ht="12.75">
      <c r="A147">
        <v>210</v>
      </c>
      <c r="B147">
        <f t="shared" si="30"/>
        <v>2.284212048591025</v>
      </c>
      <c r="C147">
        <v>36613</v>
      </c>
      <c r="D147">
        <v>1859</v>
      </c>
      <c r="E147">
        <v>26</v>
      </c>
      <c r="F147">
        <v>1085</v>
      </c>
      <c r="G147">
        <f>1.019459*(E147+F147)/(D147-14*2)</f>
        <v>0.618579436919716</v>
      </c>
      <c r="N147" s="4">
        <f t="shared" si="31"/>
        <v>2.579999999999999</v>
      </c>
      <c r="O147">
        <f t="shared" si="32"/>
        <v>0.5120100000000003</v>
      </c>
    </row>
    <row r="148" spans="1:15" ht="12.75">
      <c r="A148">
        <v>240</v>
      </c>
      <c r="B148">
        <f t="shared" si="30"/>
        <v>2.5941037930749524</v>
      </c>
      <c r="C148">
        <v>30524</v>
      </c>
      <c r="D148">
        <v>1800</v>
      </c>
      <c r="E148">
        <v>22</v>
      </c>
      <c r="F148">
        <v>859</v>
      </c>
      <c r="G148">
        <f>1.019459*(E148+F148)/(D148-14*2)</f>
        <v>0.5068529226862302</v>
      </c>
      <c r="N148" s="5">
        <v>2.61</v>
      </c>
      <c r="O148">
        <f t="shared" si="32"/>
        <v>0.5011950000000001</v>
      </c>
    </row>
    <row r="149" spans="1:15" ht="12.75">
      <c r="A149">
        <v>270</v>
      </c>
      <c r="B149">
        <f t="shared" si="30"/>
        <v>2.9039955375588793</v>
      </c>
      <c r="N149" s="4">
        <f t="shared" si="31"/>
        <v>2.6199999999999997</v>
      </c>
      <c r="O149">
        <f t="shared" si="32"/>
        <v>0.4975900000000001</v>
      </c>
    </row>
    <row r="150" spans="1:15" ht="12.75">
      <c r="A150">
        <v>300</v>
      </c>
      <c r="B150">
        <f t="shared" si="30"/>
        <v>3.213887282042806</v>
      </c>
      <c r="N150" s="4">
        <f t="shared" si="31"/>
        <v>2.6299999999999994</v>
      </c>
      <c r="O150">
        <f t="shared" si="32"/>
        <v>0.4939850000000001</v>
      </c>
    </row>
    <row r="151" spans="1:15" ht="12.75">
      <c r="A151">
        <v>330</v>
      </c>
      <c r="B151">
        <f t="shared" si="30"/>
        <v>3.523779026526733</v>
      </c>
      <c r="N151" s="4">
        <f t="shared" si="31"/>
        <v>2.6399999999999992</v>
      </c>
      <c r="O151">
        <f t="shared" si="32"/>
        <v>0.49038000000000026</v>
      </c>
    </row>
    <row r="155" spans="1:4" ht="12.75">
      <c r="A155" t="s">
        <v>33</v>
      </c>
      <c r="C155" s="3"/>
      <c r="D155" s="3"/>
    </row>
    <row r="157" spans="1:15" ht="12.75">
      <c r="A157" t="s">
        <v>0</v>
      </c>
      <c r="B157" t="s">
        <v>1</v>
      </c>
      <c r="C157" t="s">
        <v>2</v>
      </c>
      <c r="D157" t="s">
        <v>3</v>
      </c>
      <c r="E157" t="s">
        <v>4</v>
      </c>
      <c r="F157" t="s">
        <v>5</v>
      </c>
      <c r="G157" t="s">
        <v>6</v>
      </c>
      <c r="N157">
        <v>2.65</v>
      </c>
      <c r="O157">
        <f>-0.3636*N157+1.4712</f>
        <v>0.5076600000000001</v>
      </c>
    </row>
    <row r="158" spans="1:15" ht="12.75">
      <c r="A158">
        <v>85</v>
      </c>
      <c r="B158">
        <f aca="true" t="shared" si="33" ref="B158:B165">(A158-offset)/gain</f>
        <v>0.9929964465746631</v>
      </c>
      <c r="N158" s="4">
        <f>N157+0.01</f>
        <v>2.6599999999999997</v>
      </c>
      <c r="O158">
        <f aca="true" t="shared" si="34" ref="O158:O163">-0.3636*N158+1.4712</f>
        <v>0.5040240000000002</v>
      </c>
    </row>
    <row r="159" spans="1:15" ht="12.75">
      <c r="A159">
        <v>150</v>
      </c>
      <c r="B159">
        <f t="shared" si="33"/>
        <v>1.6644285596231714</v>
      </c>
      <c r="N159" s="4">
        <f>N158+0.01</f>
        <v>2.6699999999999995</v>
      </c>
      <c r="O159">
        <f t="shared" si="34"/>
        <v>0.5003880000000003</v>
      </c>
    </row>
    <row r="160" spans="1:15" ht="12.75">
      <c r="A160">
        <v>180</v>
      </c>
      <c r="B160">
        <f t="shared" si="33"/>
        <v>1.9743203041070985</v>
      </c>
      <c r="N160" s="4">
        <f>N159+0.01</f>
        <v>2.6799999999999993</v>
      </c>
      <c r="O160">
        <f t="shared" si="34"/>
        <v>0.4967520000000004</v>
      </c>
    </row>
    <row r="161" spans="1:15" ht="12.75">
      <c r="A161">
        <v>210</v>
      </c>
      <c r="B161">
        <f t="shared" si="33"/>
        <v>2.284212048591025</v>
      </c>
      <c r="N161" s="4">
        <f>N160+0.01</f>
        <v>2.689999999999999</v>
      </c>
      <c r="O161">
        <f t="shared" si="34"/>
        <v>0.49311600000000044</v>
      </c>
    </row>
    <row r="162" spans="1:15" ht="12.75">
      <c r="A162">
        <v>240</v>
      </c>
      <c r="B162">
        <f t="shared" si="33"/>
        <v>2.5941037930749524</v>
      </c>
      <c r="C162">
        <v>31272</v>
      </c>
      <c r="D162">
        <v>1750</v>
      </c>
      <c r="E162">
        <v>34</v>
      </c>
      <c r="F162">
        <v>858</v>
      </c>
      <c r="G162">
        <f>1.019459*(E162+F162)/(D162-14*2)</f>
        <v>0.5280821300813008</v>
      </c>
      <c r="N162" s="4">
        <f>N161+0.01</f>
        <v>2.699999999999999</v>
      </c>
      <c r="O162">
        <f t="shared" si="34"/>
        <v>0.4894800000000006</v>
      </c>
    </row>
    <row r="163" spans="1:15" ht="12.75">
      <c r="A163">
        <v>270</v>
      </c>
      <c r="B163">
        <f t="shared" si="33"/>
        <v>2.9039955375588793</v>
      </c>
      <c r="C163">
        <v>26456</v>
      </c>
      <c r="D163">
        <v>1871</v>
      </c>
      <c r="E163">
        <v>16</v>
      </c>
      <c r="F163">
        <v>735</v>
      </c>
      <c r="G163">
        <f>1.019459*(E163+F163)/(D163-14*2)</f>
        <v>0.4154170965816603</v>
      </c>
      <c r="N163" s="5">
        <v>2.67</v>
      </c>
      <c r="O163">
        <f t="shared" si="34"/>
        <v>0.5003880000000002</v>
      </c>
    </row>
    <row r="164" spans="1:2" ht="12.75">
      <c r="A164">
        <v>300</v>
      </c>
      <c r="B164">
        <f t="shared" si="33"/>
        <v>3.213887282042806</v>
      </c>
    </row>
    <row r="165" spans="1:2" ht="12.75">
      <c r="A165">
        <v>330</v>
      </c>
      <c r="B165">
        <f t="shared" si="33"/>
        <v>3.523779026526733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9"/>
  <sheetViews>
    <sheetView workbookViewId="0" topLeftCell="A32">
      <selection activeCell="B12" sqref="B12"/>
    </sheetView>
  </sheetViews>
  <sheetFormatPr defaultColWidth="9.140625" defaultRowHeight="12.75"/>
  <cols>
    <col min="1" max="1" width="9.7109375" style="0" customWidth="1"/>
  </cols>
  <sheetData>
    <row r="1" spans="1:14" ht="12.75">
      <c r="A1" t="s">
        <v>37</v>
      </c>
      <c r="H1" t="s">
        <v>27</v>
      </c>
      <c r="L1" t="s">
        <v>34</v>
      </c>
      <c r="M1" t="s">
        <v>35</v>
      </c>
      <c r="N1" t="s">
        <v>18</v>
      </c>
    </row>
    <row r="2" spans="8:13" ht="12.75">
      <c r="H2" t="s">
        <v>36</v>
      </c>
      <c r="L2">
        <v>20</v>
      </c>
      <c r="M2">
        <f>G10</f>
        <v>0.31094028001225316</v>
      </c>
    </row>
    <row r="3" spans="8:14" ht="12.75">
      <c r="H3">
        <v>1.059253755450302</v>
      </c>
      <c r="L3">
        <v>30</v>
      </c>
      <c r="M3">
        <f>G20</f>
        <v>0.5582473830952567</v>
      </c>
      <c r="N3">
        <f>N22</f>
        <v>1.08</v>
      </c>
    </row>
    <row r="4" spans="12:14" ht="12.75">
      <c r="L4">
        <v>40</v>
      </c>
      <c r="M4">
        <f>G31</f>
        <v>0.7137154100278189</v>
      </c>
      <c r="N4">
        <f>N34</f>
        <v>1.33</v>
      </c>
    </row>
    <row r="5" spans="12:14" ht="12.75">
      <c r="L5">
        <v>60</v>
      </c>
      <c r="M5">
        <f>G44</f>
        <v>0.8212057629775634</v>
      </c>
      <c r="N5">
        <f>N46</f>
        <v>1.67</v>
      </c>
    </row>
    <row r="6" spans="12:14" ht="12.75">
      <c r="L6">
        <v>80</v>
      </c>
      <c r="M6">
        <f>G57</f>
        <v>0.8449022366407974</v>
      </c>
      <c r="N6">
        <f>N63</f>
        <v>1.9100000000000001</v>
      </c>
    </row>
    <row r="7" spans="1:14" ht="12.75">
      <c r="A7" t="s">
        <v>7</v>
      </c>
      <c r="B7" t="s">
        <v>40</v>
      </c>
      <c r="L7">
        <v>100</v>
      </c>
      <c r="M7">
        <f>G72</f>
        <v>0.8237338385857991</v>
      </c>
      <c r="N7">
        <f>N76</f>
        <v>2.039999999999999</v>
      </c>
    </row>
    <row r="8" spans="12:14" ht="12.75">
      <c r="L8">
        <v>150</v>
      </c>
      <c r="M8">
        <f>G88</f>
        <v>0.8187554069674289</v>
      </c>
      <c r="N8">
        <f>N95</f>
        <v>2.2699999999999987</v>
      </c>
    </row>
    <row r="9" spans="1:14" ht="12.75">
      <c r="A9" t="s">
        <v>0</v>
      </c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L9">
        <v>200</v>
      </c>
      <c r="M9">
        <f>G103</f>
        <v>0.842559244708363</v>
      </c>
      <c r="N9" s="4">
        <f>N102</f>
        <v>2.4</v>
      </c>
    </row>
    <row r="10" spans="1:14" ht="12.75">
      <c r="A10">
        <v>85</v>
      </c>
      <c r="B10">
        <f>(A10-offset)/gain</f>
        <v>0.9929964465746631</v>
      </c>
      <c r="C10">
        <v>15825</v>
      </c>
      <c r="D10">
        <v>1779</v>
      </c>
      <c r="E10">
        <v>21</v>
      </c>
      <c r="F10">
        <v>493</v>
      </c>
      <c r="G10">
        <f>corr*(F10+E10)/(D10-14*2)</f>
        <v>0.31094028001225316</v>
      </c>
      <c r="L10">
        <v>250</v>
      </c>
      <c r="M10">
        <f>G118</f>
        <v>0.8078210191389495</v>
      </c>
      <c r="N10" s="4">
        <f>N122</f>
        <v>2.4899999999999993</v>
      </c>
    </row>
    <row r="11" spans="1:14" ht="12.75">
      <c r="A11">
        <v>100</v>
      </c>
      <c r="B11">
        <f>(A11-offset)/gain</f>
        <v>1.1479423188166267</v>
      </c>
      <c r="C11">
        <v>12410</v>
      </c>
      <c r="D11">
        <v>1836</v>
      </c>
      <c r="E11">
        <v>15</v>
      </c>
      <c r="F11">
        <v>361</v>
      </c>
      <c r="G11">
        <f>corr*(F11+E11)/(D11-14*2)</f>
        <v>0.2202872854255053</v>
      </c>
      <c r="L11">
        <v>300</v>
      </c>
      <c r="M11">
        <f>G133</f>
        <v>0.833762961801659</v>
      </c>
      <c r="N11" s="4">
        <f>N136</f>
        <v>2.5199999999999996</v>
      </c>
    </row>
    <row r="12" spans="1:14" ht="12.75">
      <c r="A12">
        <v>120</v>
      </c>
      <c r="B12">
        <f>(A12-offset)/gain</f>
        <v>1.3545368151392445</v>
      </c>
      <c r="C12">
        <v>8501</v>
      </c>
      <c r="D12">
        <v>1801</v>
      </c>
      <c r="E12">
        <v>10</v>
      </c>
      <c r="F12">
        <v>196</v>
      </c>
      <c r="G12">
        <f>corr*(F12+E12)/(D12-14*2)</f>
        <v>0.12307178433319924</v>
      </c>
      <c r="L12">
        <v>350</v>
      </c>
      <c r="M12">
        <f>G148</f>
        <v>0.8229805317144707</v>
      </c>
      <c r="N12" s="4">
        <f>N155</f>
        <v>2.5699999999999985</v>
      </c>
    </row>
    <row r="13" spans="12:14" ht="12.75">
      <c r="L13">
        <v>400</v>
      </c>
      <c r="M13">
        <f>G162</f>
        <v>0.8413181938072447</v>
      </c>
      <c r="N13" s="4">
        <f>N166</f>
        <v>2.6399999999999992</v>
      </c>
    </row>
    <row r="17" spans="1:2" ht="12.75">
      <c r="A17" t="s">
        <v>8</v>
      </c>
      <c r="B17" t="s">
        <v>39</v>
      </c>
    </row>
    <row r="19" spans="1:15" ht="12.75">
      <c r="A19" t="s">
        <v>0</v>
      </c>
      <c r="B19" t="s">
        <v>1</v>
      </c>
      <c r="C19" t="s">
        <v>2</v>
      </c>
      <c r="D19" t="s">
        <v>3</v>
      </c>
      <c r="E19" t="s">
        <v>4</v>
      </c>
      <c r="F19" t="s">
        <v>5</v>
      </c>
      <c r="G19" t="s">
        <v>6</v>
      </c>
      <c r="N19">
        <v>1.05</v>
      </c>
      <c r="O19">
        <f aca="true" t="shared" si="0" ref="O19:O24">2.3618*N19^3-8.8111*N19^2+10.015*N19-3.011</f>
        <v>0.5245909749999997</v>
      </c>
    </row>
    <row r="20" spans="1:15" ht="12.75">
      <c r="A20">
        <v>85</v>
      </c>
      <c r="B20">
        <f>(A20-offset)/gain</f>
        <v>0.9929964465746631</v>
      </c>
      <c r="C20">
        <v>25092</v>
      </c>
      <c r="D20">
        <v>1823</v>
      </c>
      <c r="E20">
        <v>39</v>
      </c>
      <c r="F20">
        <v>907</v>
      </c>
      <c r="G20">
        <f>corr*(F20+E20)/(D20-14*2)</f>
        <v>0.5582473830952567</v>
      </c>
      <c r="N20">
        <f>N19+0.01</f>
        <v>1.06</v>
      </c>
      <c r="O20">
        <f t="shared" si="0"/>
        <v>0.5176896288000021</v>
      </c>
    </row>
    <row r="21" spans="1:15" ht="12.75">
      <c r="A21">
        <v>100</v>
      </c>
      <c r="B21">
        <f>(A21-offset)/gain</f>
        <v>1.1479423188166267</v>
      </c>
      <c r="C21">
        <v>20320</v>
      </c>
      <c r="D21">
        <v>1863</v>
      </c>
      <c r="E21">
        <v>32</v>
      </c>
      <c r="F21">
        <v>743</v>
      </c>
      <c r="G21">
        <f>corr*(F21+E21)/(D21-14*2)</f>
        <v>0.4473687523018987</v>
      </c>
      <c r="N21">
        <f>N20+0.01</f>
        <v>1.07</v>
      </c>
      <c r="O21">
        <f t="shared" si="0"/>
        <v>0.5105281674000013</v>
      </c>
    </row>
    <row r="22" spans="1:15" ht="12.75">
      <c r="A22">
        <v>120</v>
      </c>
      <c r="B22">
        <f>(A22-offset)/gain</f>
        <v>1.3545368151392445</v>
      </c>
      <c r="C22">
        <v>15323</v>
      </c>
      <c r="D22">
        <v>1789</v>
      </c>
      <c r="E22">
        <v>9</v>
      </c>
      <c r="F22">
        <v>420</v>
      </c>
      <c r="G22">
        <f>corr*(F22+E22)/(D22-14*2)</f>
        <v>0.2580464855696647</v>
      </c>
      <c r="N22" s="2">
        <f>N21+0.01</f>
        <v>1.08</v>
      </c>
      <c r="O22" s="2">
        <f t="shared" si="0"/>
        <v>0.5031207616000026</v>
      </c>
    </row>
    <row r="23" spans="1:15" ht="12.75">
      <c r="A23">
        <v>150</v>
      </c>
      <c r="B23">
        <f>(A23-offset)/gain</f>
        <v>1.6644285596231714</v>
      </c>
      <c r="C23">
        <v>9995</v>
      </c>
      <c r="D23">
        <v>1880</v>
      </c>
      <c r="E23">
        <v>19</v>
      </c>
      <c r="F23">
        <v>224</v>
      </c>
      <c r="G23">
        <f>corr*(F23+E23)/(D23-14*2)</f>
        <v>0.13898415905746403</v>
      </c>
      <c r="N23">
        <f>N22+0.01</f>
        <v>1.09</v>
      </c>
      <c r="O23">
        <f t="shared" si="0"/>
        <v>0.49548158220000094</v>
      </c>
    </row>
    <row r="24" spans="14:15" ht="12.75">
      <c r="N24">
        <f>N23+0.01</f>
        <v>1.1</v>
      </c>
      <c r="O24">
        <f t="shared" si="0"/>
        <v>0.48762480000000163</v>
      </c>
    </row>
    <row r="28" spans="1:2" ht="12.75">
      <c r="A28" t="s">
        <v>9</v>
      </c>
      <c r="B28" t="s">
        <v>38</v>
      </c>
    </row>
    <row r="30" spans="1:7" ht="12.75">
      <c r="A30" t="s">
        <v>0</v>
      </c>
      <c r="B30" t="s">
        <v>1</v>
      </c>
      <c r="C30" t="s">
        <v>2</v>
      </c>
      <c r="D30" t="s">
        <v>3</v>
      </c>
      <c r="E30" t="s">
        <v>4</v>
      </c>
      <c r="F30" t="s">
        <v>5</v>
      </c>
      <c r="G30" t="s">
        <v>6</v>
      </c>
    </row>
    <row r="31" spans="1:15" ht="12.75">
      <c r="A31">
        <v>80</v>
      </c>
      <c r="B31">
        <f aca="true" t="shared" si="1" ref="B31:B36">(A31-offset)/gain</f>
        <v>0.9413478224940086</v>
      </c>
      <c r="C31">
        <v>37203</v>
      </c>
      <c r="D31">
        <v>1806</v>
      </c>
      <c r="E31">
        <v>36</v>
      </c>
      <c r="F31">
        <v>1162</v>
      </c>
      <c r="G31">
        <f aca="true" t="shared" si="2" ref="G31:G36">corr*(F31+E31)/(D31-14*2)</f>
        <v>0.7137154100278189</v>
      </c>
      <c r="N31">
        <v>1.3</v>
      </c>
      <c r="O31">
        <f aca="true" t="shared" si="3" ref="O31:O36">1.0763*N31^3-4.5748*N31^2+5.6231*N31-1.4155</f>
        <v>0.5277491000000001</v>
      </c>
    </row>
    <row r="32" spans="1:15" ht="12.75">
      <c r="A32">
        <v>90</v>
      </c>
      <c r="B32">
        <f t="shared" si="1"/>
        <v>1.0446450706553176</v>
      </c>
      <c r="C32">
        <v>33264</v>
      </c>
      <c r="D32">
        <v>1799</v>
      </c>
      <c r="E32">
        <v>46</v>
      </c>
      <c r="F32">
        <v>1139</v>
      </c>
      <c r="G32">
        <f t="shared" si="2"/>
        <v>0.7087609826135562</v>
      </c>
      <c r="N32">
        <f>N31+0.01</f>
        <v>1.31</v>
      </c>
      <c r="O32">
        <f t="shared" si="3"/>
        <v>0.5195670633000009</v>
      </c>
    </row>
    <row r="33" spans="1:15" ht="12.75">
      <c r="A33" s="1">
        <v>100</v>
      </c>
      <c r="B33">
        <f t="shared" si="1"/>
        <v>1.1479423188166267</v>
      </c>
      <c r="C33" s="1">
        <v>30168</v>
      </c>
      <c r="D33" s="1">
        <v>1844</v>
      </c>
      <c r="E33" s="1">
        <v>42</v>
      </c>
      <c r="F33" s="1">
        <v>1047</v>
      </c>
      <c r="G33">
        <f t="shared" si="2"/>
        <v>0.6352022795624334</v>
      </c>
      <c r="N33">
        <f>N32+0.01</f>
        <v>1.32</v>
      </c>
      <c r="O33">
        <f t="shared" si="3"/>
        <v>0.5113160384000002</v>
      </c>
    </row>
    <row r="34" spans="1:15" ht="12.75">
      <c r="A34">
        <v>120</v>
      </c>
      <c r="B34">
        <f t="shared" si="1"/>
        <v>1.3545368151392445</v>
      </c>
      <c r="C34" s="1">
        <v>23067</v>
      </c>
      <c r="D34" s="1">
        <v>1826</v>
      </c>
      <c r="E34" s="1">
        <v>27</v>
      </c>
      <c r="F34" s="1">
        <v>779</v>
      </c>
      <c r="G34">
        <f t="shared" si="2"/>
        <v>0.4748378903742733</v>
      </c>
      <c r="N34" s="2">
        <f>N33+0.01</f>
        <v>1.33</v>
      </c>
      <c r="O34" s="2">
        <f t="shared" si="3"/>
        <v>0.5030024831000011</v>
      </c>
    </row>
    <row r="35" spans="1:15" ht="12.75">
      <c r="A35">
        <v>150</v>
      </c>
      <c r="B35">
        <f t="shared" si="1"/>
        <v>1.6644285596231714</v>
      </c>
      <c r="C35" s="1">
        <v>15141</v>
      </c>
      <c r="D35" s="1">
        <v>1834</v>
      </c>
      <c r="E35" s="1">
        <v>14</v>
      </c>
      <c r="F35" s="1">
        <v>391</v>
      </c>
      <c r="G35">
        <f t="shared" si="2"/>
        <v>0.2375402939963302</v>
      </c>
      <c r="N35">
        <f>N34+0.01</f>
        <v>1.34</v>
      </c>
      <c r="O35">
        <f t="shared" si="3"/>
        <v>0.49463285520000055</v>
      </c>
    </row>
    <row r="36" spans="1:15" ht="12.75">
      <c r="A36">
        <v>180</v>
      </c>
      <c r="B36">
        <f t="shared" si="1"/>
        <v>1.9743203041070985</v>
      </c>
      <c r="C36" s="1">
        <v>10628</v>
      </c>
      <c r="D36" s="1">
        <v>1862</v>
      </c>
      <c r="E36" s="1">
        <v>8</v>
      </c>
      <c r="F36" s="1">
        <v>227</v>
      </c>
      <c r="G36">
        <f t="shared" si="2"/>
        <v>0.13572771675617284</v>
      </c>
      <c r="N36">
        <f>N35+0.01</f>
        <v>1.35</v>
      </c>
      <c r="O36">
        <f t="shared" si="3"/>
        <v>0.48621361250000006</v>
      </c>
    </row>
    <row r="41" ht="12.75">
      <c r="A41" t="s">
        <v>10</v>
      </c>
    </row>
    <row r="43" spans="1:7" ht="12.75">
      <c r="A43" t="s">
        <v>0</v>
      </c>
      <c r="B43" t="s">
        <v>1</v>
      </c>
      <c r="C43" t="s">
        <v>2</v>
      </c>
      <c r="D43" t="s">
        <v>3</v>
      </c>
      <c r="E43" t="s">
        <v>4</v>
      </c>
      <c r="F43" t="s">
        <v>5</v>
      </c>
      <c r="G43" t="s">
        <v>6</v>
      </c>
    </row>
    <row r="44" spans="1:15" ht="12.75">
      <c r="A44">
        <v>85</v>
      </c>
      <c r="B44">
        <f aca="true" t="shared" si="4" ref="B44:B50">(A44-offset)/gain</f>
        <v>0.9929964465746631</v>
      </c>
      <c r="C44">
        <v>50986</v>
      </c>
      <c r="D44">
        <v>1799</v>
      </c>
      <c r="E44">
        <v>39</v>
      </c>
      <c r="F44">
        <v>1334</v>
      </c>
      <c r="G44">
        <f aca="true" t="shared" si="5" ref="G44:G50">corr*(F44+E44)/(D44-14*2)</f>
        <v>0.8212057629775634</v>
      </c>
      <c r="N44">
        <v>1.65</v>
      </c>
      <c r="O44">
        <f>0.1425*N44^3-0.7176*N44^2+0.67*N44+0.7204</f>
        <v>0.5123618125000001</v>
      </c>
    </row>
    <row r="45" spans="1:15" ht="12.75">
      <c r="A45" s="1">
        <v>100</v>
      </c>
      <c r="B45">
        <f t="shared" si="4"/>
        <v>1.1479423188166267</v>
      </c>
      <c r="C45">
        <v>43908</v>
      </c>
      <c r="D45">
        <v>1769</v>
      </c>
      <c r="E45">
        <v>36</v>
      </c>
      <c r="F45">
        <v>1202</v>
      </c>
      <c r="G45">
        <f t="shared" si="5"/>
        <v>0.7532200742374922</v>
      </c>
      <c r="N45">
        <f>N44+0.01</f>
        <v>1.66</v>
      </c>
      <c r="O45">
        <f aca="true" t="shared" si="6" ref="O45:O51">0.1425*N45^3-0.7176*N45^2+0.67*N45+0.7204</f>
        <v>0.5070186200000001</v>
      </c>
    </row>
    <row r="46" spans="1:15" ht="12.75">
      <c r="A46">
        <v>120</v>
      </c>
      <c r="B46">
        <f t="shared" si="4"/>
        <v>1.3545368151392445</v>
      </c>
      <c r="C46">
        <v>35764</v>
      </c>
      <c r="D46">
        <v>1811</v>
      </c>
      <c r="E46">
        <v>31</v>
      </c>
      <c r="F46">
        <v>1084</v>
      </c>
      <c r="G46">
        <f t="shared" si="5"/>
        <v>0.6624049003517032</v>
      </c>
      <c r="N46" s="2">
        <f aca="true" t="shared" si="7" ref="N46:N51">N45+0.01</f>
        <v>1.67</v>
      </c>
      <c r="O46" s="2">
        <f t="shared" si="6"/>
        <v>0.5016738375000002</v>
      </c>
    </row>
    <row r="47" spans="1:15" ht="12.75">
      <c r="A47">
        <v>150</v>
      </c>
      <c r="B47">
        <f t="shared" si="4"/>
        <v>1.6644285596231714</v>
      </c>
      <c r="C47">
        <v>26586</v>
      </c>
      <c r="D47">
        <v>1767</v>
      </c>
      <c r="E47">
        <v>27</v>
      </c>
      <c r="F47">
        <v>837</v>
      </c>
      <c r="G47">
        <f t="shared" si="5"/>
        <v>0.5262767364629448</v>
      </c>
      <c r="N47">
        <f t="shared" si="7"/>
        <v>1.68</v>
      </c>
      <c r="O47">
        <f t="shared" si="6"/>
        <v>0.49632832000000027</v>
      </c>
    </row>
    <row r="48" spans="1:15" ht="12.75">
      <c r="A48">
        <v>180</v>
      </c>
      <c r="B48">
        <f t="shared" si="4"/>
        <v>1.9743203041070985</v>
      </c>
      <c r="C48">
        <v>19765</v>
      </c>
      <c r="D48">
        <v>1798</v>
      </c>
      <c r="E48">
        <v>11</v>
      </c>
      <c r="F48">
        <v>515</v>
      </c>
      <c r="G48">
        <f t="shared" si="5"/>
        <v>0.3147838843880559</v>
      </c>
      <c r="N48">
        <f t="shared" si="7"/>
        <v>1.69</v>
      </c>
      <c r="O48">
        <f t="shared" si="6"/>
        <v>0.49098292249999986</v>
      </c>
    </row>
    <row r="49" spans="1:15" ht="12.75">
      <c r="A49">
        <v>210</v>
      </c>
      <c r="B49">
        <f t="shared" si="4"/>
        <v>2.284212048591025</v>
      </c>
      <c r="C49">
        <v>14430</v>
      </c>
      <c r="D49">
        <v>1791</v>
      </c>
      <c r="E49">
        <v>24</v>
      </c>
      <c r="F49">
        <v>346</v>
      </c>
      <c r="G49">
        <f t="shared" si="5"/>
        <v>0.2223050989884355</v>
      </c>
      <c r="N49">
        <f t="shared" si="7"/>
        <v>1.7</v>
      </c>
      <c r="O49">
        <f t="shared" si="6"/>
        <v>0.4856385</v>
      </c>
    </row>
    <row r="50" spans="1:15" ht="12.75">
      <c r="A50">
        <v>240</v>
      </c>
      <c r="B50">
        <f t="shared" si="4"/>
        <v>2.5941037930749524</v>
      </c>
      <c r="C50">
        <v>10740</v>
      </c>
      <c r="D50">
        <v>1765</v>
      </c>
      <c r="F50">
        <v>187</v>
      </c>
      <c r="G50">
        <f t="shared" si="5"/>
        <v>0.11403595409856447</v>
      </c>
      <c r="N50">
        <f t="shared" si="7"/>
        <v>1.71</v>
      </c>
      <c r="O50">
        <f t="shared" si="6"/>
        <v>0.48029590750000006</v>
      </c>
    </row>
    <row r="51" spans="14:15" ht="12.75">
      <c r="N51">
        <f t="shared" si="7"/>
        <v>1.72</v>
      </c>
      <c r="O51">
        <f t="shared" si="6"/>
        <v>0.47495600000000027</v>
      </c>
    </row>
    <row r="54" spans="1:2" ht="12.75">
      <c r="A54" t="s">
        <v>11</v>
      </c>
      <c r="B54" t="s">
        <v>24</v>
      </c>
    </row>
    <row r="56" spans="1:7" ht="12.75">
      <c r="A56" t="s">
        <v>0</v>
      </c>
      <c r="B56" t="s">
        <v>1</v>
      </c>
      <c r="C56" t="s">
        <v>2</v>
      </c>
      <c r="D56" t="s">
        <v>3</v>
      </c>
      <c r="E56" t="s">
        <v>4</v>
      </c>
      <c r="F56" t="s">
        <v>5</v>
      </c>
      <c r="G56" t="s">
        <v>6</v>
      </c>
    </row>
    <row r="57" spans="1:15" ht="12.75">
      <c r="A57">
        <v>85</v>
      </c>
      <c r="B57">
        <f aca="true" t="shared" si="8" ref="B57:B64">(A57-offset)/gain</f>
        <v>0.9929964465746631</v>
      </c>
      <c r="C57">
        <v>59504</v>
      </c>
      <c r="D57">
        <v>1807</v>
      </c>
      <c r="E57">
        <v>45</v>
      </c>
      <c r="F57">
        <v>1374</v>
      </c>
      <c r="G57">
        <f aca="true" t="shared" si="9" ref="G57:G64">corr*(F57+E57)/(D57-14*2)</f>
        <v>0.8449022366407974</v>
      </c>
      <c r="N57">
        <v>1.85</v>
      </c>
      <c r="O57">
        <f>0.113*N57^3-0.6525*N57^2+0.779*N57+0.605</f>
        <v>0.5284423750000002</v>
      </c>
    </row>
    <row r="58" spans="1:15" ht="12.75">
      <c r="A58" s="1">
        <v>100</v>
      </c>
      <c r="B58">
        <f t="shared" si="8"/>
        <v>1.1479423188166267</v>
      </c>
      <c r="C58">
        <v>51538</v>
      </c>
      <c r="D58">
        <v>1848</v>
      </c>
      <c r="E58">
        <v>42</v>
      </c>
      <c r="F58">
        <v>1353</v>
      </c>
      <c r="G58">
        <f t="shared" si="9"/>
        <v>0.8119005433259183</v>
      </c>
      <c r="N58">
        <f aca="true" t="shared" si="10" ref="N58:N65">N57+0.01</f>
        <v>1.86</v>
      </c>
      <c r="O58">
        <f aca="true" t="shared" si="11" ref="O58:O65">0.113*N58^3-0.6525*N58^2+0.779*N58+0.605</f>
        <v>0.5236897279999999</v>
      </c>
    </row>
    <row r="59" spans="1:15" ht="12.75">
      <c r="A59">
        <v>120</v>
      </c>
      <c r="B59">
        <f t="shared" si="8"/>
        <v>1.3545368151392445</v>
      </c>
      <c r="C59">
        <v>42416</v>
      </c>
      <c r="D59">
        <v>1808</v>
      </c>
      <c r="E59">
        <v>38</v>
      </c>
      <c r="F59">
        <v>1195</v>
      </c>
      <c r="G59">
        <f t="shared" si="9"/>
        <v>0.7337415058821475</v>
      </c>
      <c r="N59">
        <f t="shared" si="10"/>
        <v>1.87</v>
      </c>
      <c r="O59">
        <f t="shared" si="11"/>
        <v>0.5189326889999999</v>
      </c>
    </row>
    <row r="60" spans="1:15" ht="12.75">
      <c r="A60">
        <v>150</v>
      </c>
      <c r="B60">
        <f t="shared" si="8"/>
        <v>1.6644285596231714</v>
      </c>
      <c r="C60">
        <v>32377</v>
      </c>
      <c r="D60">
        <v>1744</v>
      </c>
      <c r="E60">
        <v>30</v>
      </c>
      <c r="F60">
        <v>1018</v>
      </c>
      <c r="G60">
        <f t="shared" si="9"/>
        <v>0.6469102189463383</v>
      </c>
      <c r="N60">
        <f t="shared" si="10"/>
        <v>1.8800000000000001</v>
      </c>
      <c r="O60">
        <f t="shared" si="11"/>
        <v>0.5141719359999999</v>
      </c>
    </row>
    <row r="61" spans="1:15" ht="12.75">
      <c r="A61">
        <v>180</v>
      </c>
      <c r="B61">
        <f t="shared" si="8"/>
        <v>1.9743203041070985</v>
      </c>
      <c r="C61">
        <v>24253</v>
      </c>
      <c r="D61">
        <v>1787</v>
      </c>
      <c r="E61">
        <v>25</v>
      </c>
      <c r="F61">
        <v>699</v>
      </c>
      <c r="G61">
        <f t="shared" si="9"/>
        <v>0.43598619610347855</v>
      </c>
      <c r="N61">
        <f t="shared" si="10"/>
        <v>1.8900000000000001</v>
      </c>
      <c r="O61">
        <f t="shared" si="11"/>
        <v>0.5094081470000003</v>
      </c>
    </row>
    <row r="62" spans="1:15" ht="12.75">
      <c r="A62">
        <v>210</v>
      </c>
      <c r="B62">
        <f t="shared" si="8"/>
        <v>2.284212048591025</v>
      </c>
      <c r="C62">
        <v>18893</v>
      </c>
      <c r="D62">
        <v>1827</v>
      </c>
      <c r="E62">
        <v>24</v>
      </c>
      <c r="F62">
        <v>533</v>
      </c>
      <c r="G62">
        <f t="shared" si="9"/>
        <v>0.32796239120945986</v>
      </c>
      <c r="N62">
        <f t="shared" si="10"/>
        <v>1.9000000000000001</v>
      </c>
      <c r="O62">
        <f t="shared" si="11"/>
        <v>0.5046420000000003</v>
      </c>
    </row>
    <row r="63" spans="1:15" ht="12.75">
      <c r="A63">
        <v>240</v>
      </c>
      <c r="B63">
        <f t="shared" si="8"/>
        <v>2.5941037930749524</v>
      </c>
      <c r="C63">
        <v>14447</v>
      </c>
      <c r="D63">
        <v>1669</v>
      </c>
      <c r="E63">
        <v>12</v>
      </c>
      <c r="F63">
        <v>333</v>
      </c>
      <c r="G63">
        <f t="shared" si="9"/>
        <v>0.22269503085335418</v>
      </c>
      <c r="N63" s="2">
        <f t="shared" si="10"/>
        <v>1.9100000000000001</v>
      </c>
      <c r="O63" s="2">
        <f t="shared" si="11"/>
        <v>0.49987417300000025</v>
      </c>
    </row>
    <row r="64" spans="1:15" ht="12.75">
      <c r="A64">
        <v>270</v>
      </c>
      <c r="B64">
        <f t="shared" si="8"/>
        <v>2.9039955375588793</v>
      </c>
      <c r="C64">
        <v>11317</v>
      </c>
      <c r="D64">
        <v>1804</v>
      </c>
      <c r="E64">
        <v>8</v>
      </c>
      <c r="F64">
        <v>202</v>
      </c>
      <c r="G64">
        <f t="shared" si="9"/>
        <v>0.12524959946202896</v>
      </c>
      <c r="N64">
        <f t="shared" si="10"/>
        <v>1.9200000000000002</v>
      </c>
      <c r="O64">
        <f t="shared" si="11"/>
        <v>0.49510534399999995</v>
      </c>
    </row>
    <row r="65" spans="14:15" ht="12.75">
      <c r="N65">
        <f t="shared" si="10"/>
        <v>1.9300000000000002</v>
      </c>
      <c r="O65">
        <f t="shared" si="11"/>
        <v>0.49033619100000014</v>
      </c>
    </row>
    <row r="69" spans="1:4" ht="12.75">
      <c r="A69" t="s">
        <v>13</v>
      </c>
      <c r="B69" t="s">
        <v>25</v>
      </c>
      <c r="C69" s="3"/>
      <c r="D69" s="3"/>
    </row>
    <row r="71" spans="1:7" ht="12.75">
      <c r="A71" t="s">
        <v>0</v>
      </c>
      <c r="B71" t="s">
        <v>1</v>
      </c>
      <c r="C71" t="s">
        <v>2</v>
      </c>
      <c r="D71" t="s">
        <v>3</v>
      </c>
      <c r="E71" t="s">
        <v>4</v>
      </c>
      <c r="F71" t="s">
        <v>5</v>
      </c>
      <c r="G71" t="s">
        <v>6</v>
      </c>
    </row>
    <row r="72" spans="1:15" ht="12.75">
      <c r="A72">
        <v>85</v>
      </c>
      <c r="B72">
        <f aca="true" t="shared" si="12" ref="B72:B80">(A72-offset)/gain</f>
        <v>0.9929964465746631</v>
      </c>
      <c r="C72">
        <v>64232</v>
      </c>
      <c r="D72">
        <v>1836</v>
      </c>
      <c r="E72">
        <v>49</v>
      </c>
      <c r="F72">
        <v>1357</v>
      </c>
      <c r="G72">
        <f aca="true" t="shared" si="13" ref="G72:G80">corr*(F72+E72)/(D72-14*2)</f>
        <v>0.8237338385857991</v>
      </c>
      <c r="N72">
        <v>2</v>
      </c>
      <c r="O72">
        <f>0.1106*N72^3-0.6944*N72^2+1.0015*N72+0.4058</f>
        <v>0.516</v>
      </c>
    </row>
    <row r="73" spans="1:15" ht="12.75">
      <c r="A73" s="1">
        <v>100</v>
      </c>
      <c r="B73">
        <f t="shared" si="12"/>
        <v>1.1479423188166267</v>
      </c>
      <c r="C73">
        <v>55532</v>
      </c>
      <c r="D73">
        <v>1753</v>
      </c>
      <c r="E73">
        <v>55</v>
      </c>
      <c r="F73">
        <v>1249</v>
      </c>
      <c r="G73">
        <f t="shared" si="13"/>
        <v>0.8007344331056196</v>
      </c>
      <c r="N73">
        <f aca="true" t="shared" si="14" ref="N73:N80">N72+0.01</f>
        <v>2.01</v>
      </c>
      <c r="O73">
        <f aca="true" t="shared" si="15" ref="O73:O80">0.1106*N73^3-0.6944*N73^2+1.0015*N73+0.4058</f>
        <v>0.5115080306000002</v>
      </c>
    </row>
    <row r="74" spans="1:15" ht="12.75">
      <c r="A74">
        <v>120</v>
      </c>
      <c r="B74">
        <f t="shared" si="12"/>
        <v>1.3545368151392445</v>
      </c>
      <c r="C74">
        <v>46793</v>
      </c>
      <c r="D74">
        <v>1756</v>
      </c>
      <c r="E74">
        <v>47</v>
      </c>
      <c r="F74">
        <v>1218</v>
      </c>
      <c r="G74">
        <f t="shared" si="13"/>
        <v>0.775437500373051</v>
      </c>
      <c r="N74">
        <f t="shared" si="14"/>
        <v>2.0199999999999996</v>
      </c>
      <c r="O74">
        <f t="shared" si="15"/>
        <v>0.5070105648000005</v>
      </c>
    </row>
    <row r="75" spans="1:15" ht="12.75">
      <c r="A75">
        <v>150</v>
      </c>
      <c r="B75">
        <f t="shared" si="12"/>
        <v>1.6644285596231714</v>
      </c>
      <c r="C75">
        <v>36068</v>
      </c>
      <c r="D75">
        <v>1760</v>
      </c>
      <c r="E75">
        <v>32</v>
      </c>
      <c r="F75">
        <v>1048</v>
      </c>
      <c r="G75">
        <f t="shared" si="13"/>
        <v>0.6605046512045765</v>
      </c>
      <c r="N75">
        <f t="shared" si="14"/>
        <v>2.0299999999999994</v>
      </c>
      <c r="O75">
        <f t="shared" si="15"/>
        <v>0.5025082662000002</v>
      </c>
    </row>
    <row r="76" spans="1:15" ht="12.75">
      <c r="A76">
        <v>180</v>
      </c>
      <c r="B76">
        <f t="shared" si="12"/>
        <v>1.9743203041070985</v>
      </c>
      <c r="C76">
        <v>28432</v>
      </c>
      <c r="D76">
        <v>1774</v>
      </c>
      <c r="E76">
        <v>28</v>
      </c>
      <c r="F76">
        <v>819</v>
      </c>
      <c r="G76">
        <f t="shared" si="13"/>
        <v>0.5138533395569335</v>
      </c>
      <c r="N76" s="2">
        <f t="shared" si="14"/>
        <v>2.039999999999999</v>
      </c>
      <c r="O76" s="2">
        <f t="shared" si="15"/>
        <v>0.49800179840000053</v>
      </c>
    </row>
    <row r="77" spans="1:15" ht="12.75">
      <c r="A77">
        <v>210</v>
      </c>
      <c r="B77">
        <f t="shared" si="12"/>
        <v>2.284212048591025</v>
      </c>
      <c r="C77">
        <v>22216</v>
      </c>
      <c r="D77">
        <v>1865</v>
      </c>
      <c r="E77">
        <v>28</v>
      </c>
      <c r="F77">
        <v>652</v>
      </c>
      <c r="G77">
        <f t="shared" si="13"/>
        <v>0.39210264219172863</v>
      </c>
      <c r="N77">
        <f t="shared" si="14"/>
        <v>2.049999999999999</v>
      </c>
      <c r="O77">
        <f t="shared" si="15"/>
        <v>0.4934918250000007</v>
      </c>
    </row>
    <row r="78" spans="1:15" ht="12.75">
      <c r="A78">
        <v>240</v>
      </c>
      <c r="B78">
        <f t="shared" si="12"/>
        <v>2.5941037930749524</v>
      </c>
      <c r="C78">
        <v>17445</v>
      </c>
      <c r="D78">
        <v>1819</v>
      </c>
      <c r="E78">
        <v>19</v>
      </c>
      <c r="F78">
        <v>435</v>
      </c>
      <c r="G78">
        <f t="shared" si="13"/>
        <v>0.2685098855245322</v>
      </c>
      <c r="N78">
        <f t="shared" si="14"/>
        <v>2.0599999999999987</v>
      </c>
      <c r="O78">
        <f t="shared" si="15"/>
        <v>0.4889790096000011</v>
      </c>
    </row>
    <row r="79" spans="1:15" ht="12.75">
      <c r="A79">
        <v>270</v>
      </c>
      <c r="B79">
        <f t="shared" si="12"/>
        <v>2.9039955375588793</v>
      </c>
      <c r="C79">
        <v>13597</v>
      </c>
      <c r="D79">
        <v>1818</v>
      </c>
      <c r="E79">
        <v>11</v>
      </c>
      <c r="F79">
        <v>266</v>
      </c>
      <c r="G79">
        <f t="shared" si="13"/>
        <v>0.16391803925124787</v>
      </c>
      <c r="N79">
        <f t="shared" si="14"/>
        <v>2.0699999999999985</v>
      </c>
      <c r="O79">
        <f t="shared" si="15"/>
        <v>0.4844640158000007</v>
      </c>
    </row>
    <row r="80" spans="1:15" ht="12.75">
      <c r="A80">
        <v>300</v>
      </c>
      <c r="B80">
        <f t="shared" si="12"/>
        <v>3.213887282042806</v>
      </c>
      <c r="C80">
        <v>10537</v>
      </c>
      <c r="D80">
        <v>1740</v>
      </c>
      <c r="E80">
        <v>6</v>
      </c>
      <c r="F80">
        <v>194</v>
      </c>
      <c r="G80">
        <f t="shared" si="13"/>
        <v>0.12374459759933436</v>
      </c>
      <c r="N80">
        <f t="shared" si="14"/>
        <v>2.0799999999999983</v>
      </c>
      <c r="O80">
        <f t="shared" si="15"/>
        <v>0.47994750720000107</v>
      </c>
    </row>
    <row r="85" spans="1:4" ht="12.75">
      <c r="A85" t="s">
        <v>26</v>
      </c>
      <c r="C85" s="3"/>
      <c r="D85" s="3"/>
    </row>
    <row r="87" spans="1:7" ht="12.75">
      <c r="A87" t="s">
        <v>0</v>
      </c>
      <c r="B87" t="s">
        <v>1</v>
      </c>
      <c r="C87" t="s">
        <v>2</v>
      </c>
      <c r="D87" t="s">
        <v>3</v>
      </c>
      <c r="E87" t="s">
        <v>4</v>
      </c>
      <c r="F87" t="s">
        <v>5</v>
      </c>
      <c r="G87" t="s">
        <v>6</v>
      </c>
    </row>
    <row r="88" spans="1:15" ht="12.75">
      <c r="A88">
        <v>85</v>
      </c>
      <c r="B88">
        <f aca="true" t="shared" si="16" ref="B88:B96">(A88-offset)/gain</f>
        <v>0.9929964465746631</v>
      </c>
      <c r="C88">
        <v>68666</v>
      </c>
      <c r="D88">
        <v>1825</v>
      </c>
      <c r="E88">
        <v>45</v>
      </c>
      <c r="F88">
        <v>1344</v>
      </c>
      <c r="G88">
        <f aca="true" t="shared" si="17" ref="G88:G96">corr*(F88+E88)/(D88-14*2)</f>
        <v>0.8187554069674289</v>
      </c>
      <c r="N88">
        <v>2.2</v>
      </c>
      <c r="O88">
        <f>0.0856*N88^3-0.5813*N88^2+0.9187*N88+0.4095</f>
        <v>0.5286167999999996</v>
      </c>
    </row>
    <row r="89" spans="1:15" ht="12.75">
      <c r="A89">
        <v>100</v>
      </c>
      <c r="B89">
        <f t="shared" si="16"/>
        <v>1.1479423188166267</v>
      </c>
      <c r="C89">
        <v>60711</v>
      </c>
      <c r="D89">
        <v>1813</v>
      </c>
      <c r="E89">
        <v>47</v>
      </c>
      <c r="F89">
        <v>1362</v>
      </c>
      <c r="G89">
        <f t="shared" si="17"/>
        <v>0.8361280344142721</v>
      </c>
      <c r="N89">
        <f aca="true" t="shared" si="18" ref="N89:N96">N88+0.01</f>
        <v>2.21</v>
      </c>
      <c r="O89">
        <f aca="true" t="shared" si="19" ref="O89:O96">0.0856*N89^3-0.5813*N89^2+0.9187*N89+0.4095</f>
        <v>0.5246541715999995</v>
      </c>
    </row>
    <row r="90" spans="1:15" ht="12.75">
      <c r="A90">
        <v>120</v>
      </c>
      <c r="B90">
        <f t="shared" si="16"/>
        <v>1.3545368151392445</v>
      </c>
      <c r="C90">
        <v>51306</v>
      </c>
      <c r="D90">
        <v>1742</v>
      </c>
      <c r="E90">
        <v>47</v>
      </c>
      <c r="F90">
        <v>1282</v>
      </c>
      <c r="G90">
        <f t="shared" si="17"/>
        <v>0.8213233611397033</v>
      </c>
      <c r="N90">
        <f t="shared" si="18"/>
        <v>2.2199999999999998</v>
      </c>
      <c r="O90">
        <f t="shared" si="19"/>
        <v>0.5206887887999994</v>
      </c>
    </row>
    <row r="91" spans="1:15" ht="12.75">
      <c r="A91">
        <v>150</v>
      </c>
      <c r="B91">
        <f t="shared" si="16"/>
        <v>1.6644285596231714</v>
      </c>
      <c r="C91">
        <v>41136</v>
      </c>
      <c r="D91">
        <v>1776</v>
      </c>
      <c r="E91">
        <v>34</v>
      </c>
      <c r="F91">
        <v>1141</v>
      </c>
      <c r="G91">
        <f t="shared" si="17"/>
        <v>0.7120269809234011</v>
      </c>
      <c r="N91">
        <f t="shared" si="18"/>
        <v>2.2299999999999995</v>
      </c>
      <c r="O91">
        <f t="shared" si="19"/>
        <v>0.5167211651999994</v>
      </c>
    </row>
    <row r="92" spans="1:15" ht="12.75">
      <c r="A92">
        <v>180</v>
      </c>
      <c r="B92">
        <f t="shared" si="16"/>
        <v>1.9743203041070985</v>
      </c>
      <c r="C92">
        <v>33461</v>
      </c>
      <c r="D92">
        <v>1712</v>
      </c>
      <c r="E92">
        <v>22</v>
      </c>
      <c r="F92">
        <v>937</v>
      </c>
      <c r="G92">
        <f t="shared" si="17"/>
        <v>0.6032211113282896</v>
      </c>
      <c r="N92">
        <f t="shared" si="18"/>
        <v>2.2399999999999993</v>
      </c>
      <c r="O92">
        <f t="shared" si="19"/>
        <v>0.5127518144000001</v>
      </c>
    </row>
    <row r="93" spans="1:15" ht="12.75">
      <c r="A93">
        <v>210</v>
      </c>
      <c r="B93">
        <f t="shared" si="16"/>
        <v>2.284212048591025</v>
      </c>
      <c r="C93">
        <v>27041</v>
      </c>
      <c r="D93">
        <v>1794</v>
      </c>
      <c r="E93">
        <v>23</v>
      </c>
      <c r="F93">
        <v>810</v>
      </c>
      <c r="G93">
        <f t="shared" si="17"/>
        <v>0.49963668079847207</v>
      </c>
      <c r="N93">
        <f t="shared" si="18"/>
        <v>2.249999999999999</v>
      </c>
      <c r="O93">
        <f t="shared" si="19"/>
        <v>0.50878125</v>
      </c>
    </row>
    <row r="94" spans="1:15" ht="12.75">
      <c r="A94">
        <v>240</v>
      </c>
      <c r="B94">
        <f t="shared" si="16"/>
        <v>2.5941037930749524</v>
      </c>
      <c r="C94">
        <v>21910</v>
      </c>
      <c r="D94">
        <v>1704</v>
      </c>
      <c r="E94">
        <v>17</v>
      </c>
      <c r="F94">
        <v>573</v>
      </c>
      <c r="G94">
        <f t="shared" si="17"/>
        <v>0.37288765854157413</v>
      </c>
      <c r="N94">
        <f t="shared" si="18"/>
        <v>2.259999999999999</v>
      </c>
      <c r="O94">
        <f t="shared" si="19"/>
        <v>0.5048099855999999</v>
      </c>
    </row>
    <row r="95" spans="1:15" ht="12.75">
      <c r="A95">
        <v>270</v>
      </c>
      <c r="B95">
        <f t="shared" si="16"/>
        <v>2.9039955375588793</v>
      </c>
      <c r="C95">
        <v>17627</v>
      </c>
      <c r="D95">
        <v>1750</v>
      </c>
      <c r="E95">
        <v>18</v>
      </c>
      <c r="F95">
        <v>448</v>
      </c>
      <c r="G95">
        <f t="shared" si="17"/>
        <v>0.2866505517072246</v>
      </c>
      <c r="N95" s="2">
        <f t="shared" si="18"/>
        <v>2.2699999999999987</v>
      </c>
      <c r="O95" s="2">
        <f t="shared" si="19"/>
        <v>0.5008385348000002</v>
      </c>
    </row>
    <row r="96" spans="1:15" ht="12.75">
      <c r="A96">
        <v>300</v>
      </c>
      <c r="B96">
        <f t="shared" si="16"/>
        <v>3.213887282042806</v>
      </c>
      <c r="C96">
        <v>14041</v>
      </c>
      <c r="D96">
        <v>1815</v>
      </c>
      <c r="E96">
        <v>15</v>
      </c>
      <c r="F96">
        <v>311</v>
      </c>
      <c r="G96">
        <f t="shared" si="17"/>
        <v>0.19323823406647928</v>
      </c>
      <c r="N96">
        <f t="shared" si="18"/>
        <v>2.2799999999999985</v>
      </c>
      <c r="O96">
        <f t="shared" si="19"/>
        <v>0.49686741120000066</v>
      </c>
    </row>
    <row r="100" spans="1:4" ht="12.75">
      <c r="A100" t="s">
        <v>28</v>
      </c>
      <c r="C100" s="3"/>
      <c r="D100" s="3"/>
    </row>
    <row r="102" spans="1:15" ht="12.75">
      <c r="A102" t="s">
        <v>0</v>
      </c>
      <c r="B102" t="s">
        <v>1</v>
      </c>
      <c r="C102" t="s">
        <v>2</v>
      </c>
      <c r="D102" t="s">
        <v>3</v>
      </c>
      <c r="E102" t="s">
        <v>4</v>
      </c>
      <c r="F102" t="s">
        <v>5</v>
      </c>
      <c r="G102" t="s">
        <v>6</v>
      </c>
      <c r="N102" s="2">
        <v>2.4</v>
      </c>
      <c r="O102" s="2">
        <f>0.0612*N102^3-0.4421*N102^2+0.6937*N102+0.5362</f>
        <v>0.5006128000000001</v>
      </c>
    </row>
    <row r="103" spans="1:15" ht="12.75">
      <c r="A103">
        <v>85</v>
      </c>
      <c r="B103">
        <f aca="true" t="shared" si="20" ref="B103:B110">(A103-offset)/gain</f>
        <v>0.9929964465746631</v>
      </c>
      <c r="C103">
        <v>70417</v>
      </c>
      <c r="D103">
        <v>1690</v>
      </c>
      <c r="E103">
        <v>46</v>
      </c>
      <c r="F103">
        <v>1276</v>
      </c>
      <c r="G103">
        <f aca="true" t="shared" si="21" ref="G103:G110">corr*(F103+E103)/(D103-14*2)</f>
        <v>0.842559244708363</v>
      </c>
      <c r="N103">
        <f aca="true" t="shared" si="22" ref="N103:N110">N102+0.01</f>
        <v>2.4099999999999997</v>
      </c>
      <c r="O103">
        <f aca="true" t="shared" si="23" ref="O103:O110">0.0612*N103^3-0.4421*N103^2+0.6937*N103+0.5362</f>
        <v>0.4969042751999999</v>
      </c>
    </row>
    <row r="104" spans="1:15" ht="12.75">
      <c r="A104">
        <v>150</v>
      </c>
      <c r="B104">
        <f t="shared" si="20"/>
        <v>1.6644285596231714</v>
      </c>
      <c r="C104">
        <v>43313</v>
      </c>
      <c r="D104">
        <v>1795</v>
      </c>
      <c r="E104">
        <v>38</v>
      </c>
      <c r="F104">
        <v>1224</v>
      </c>
      <c r="G104">
        <f t="shared" si="21"/>
        <v>0.7565241875372277</v>
      </c>
      <c r="N104">
        <f t="shared" si="22"/>
        <v>2.4199999999999995</v>
      </c>
      <c r="O104">
        <f t="shared" si="23"/>
        <v>0.4931958256000004</v>
      </c>
    </row>
    <row r="105" spans="1:15" ht="12.75">
      <c r="A105">
        <v>180</v>
      </c>
      <c r="B105">
        <f t="shared" si="20"/>
        <v>1.9743203041070985</v>
      </c>
      <c r="C105">
        <v>35818</v>
      </c>
      <c r="D105">
        <v>1832</v>
      </c>
      <c r="E105">
        <v>32</v>
      </c>
      <c r="F105">
        <v>1054</v>
      </c>
      <c r="G105">
        <f t="shared" si="21"/>
        <v>0.637666063425182</v>
      </c>
      <c r="N105">
        <f t="shared" si="22"/>
        <v>2.4299999999999993</v>
      </c>
      <c r="O105">
        <f t="shared" si="23"/>
        <v>0.48948781840000044</v>
      </c>
    </row>
    <row r="106" spans="1:15" ht="12.75">
      <c r="A106">
        <v>210</v>
      </c>
      <c r="B106">
        <f t="shared" si="20"/>
        <v>2.284212048591025</v>
      </c>
      <c r="C106">
        <v>29214</v>
      </c>
      <c r="D106">
        <v>1831</v>
      </c>
      <c r="E106">
        <v>25</v>
      </c>
      <c r="F106">
        <v>915</v>
      </c>
      <c r="G106">
        <f t="shared" si="21"/>
        <v>0.5522454410001575</v>
      </c>
      <c r="N106">
        <f t="shared" si="22"/>
        <v>2.439999999999999</v>
      </c>
      <c r="O106">
        <f t="shared" si="23"/>
        <v>0.4857806208000002</v>
      </c>
    </row>
    <row r="107" spans="1:15" ht="12.75">
      <c r="A107">
        <v>240</v>
      </c>
      <c r="B107">
        <f t="shared" si="20"/>
        <v>2.5941037930749524</v>
      </c>
      <c r="C107">
        <v>24077</v>
      </c>
      <c r="D107">
        <v>1854</v>
      </c>
      <c r="E107">
        <v>24</v>
      </c>
      <c r="F107">
        <v>718</v>
      </c>
      <c r="G107">
        <f t="shared" si="21"/>
        <v>0.43043060599349625</v>
      </c>
      <c r="N107">
        <f t="shared" si="22"/>
        <v>2.449999999999999</v>
      </c>
      <c r="O107">
        <f t="shared" si="23"/>
        <v>0.48207460000000024</v>
      </c>
    </row>
    <row r="108" spans="1:15" ht="12.75">
      <c r="A108">
        <v>270</v>
      </c>
      <c r="B108">
        <f t="shared" si="20"/>
        <v>2.9039955375588793</v>
      </c>
      <c r="C108">
        <v>19474</v>
      </c>
      <c r="D108">
        <v>1801</v>
      </c>
      <c r="E108">
        <v>21</v>
      </c>
      <c r="F108">
        <v>513</v>
      </c>
      <c r="G108">
        <f t="shared" si="21"/>
        <v>0.3190307419122737</v>
      </c>
      <c r="N108">
        <f t="shared" si="22"/>
        <v>2.4599999999999986</v>
      </c>
      <c r="O108">
        <f t="shared" si="23"/>
        <v>0.4783701232000004</v>
      </c>
    </row>
    <row r="109" spans="1:15" ht="12.75">
      <c r="A109">
        <v>300</v>
      </c>
      <c r="B109">
        <f t="shared" si="20"/>
        <v>3.213887282042806</v>
      </c>
      <c r="C109">
        <v>15850</v>
      </c>
      <c r="D109">
        <v>1726</v>
      </c>
      <c r="E109">
        <v>12</v>
      </c>
      <c r="F109">
        <v>357</v>
      </c>
      <c r="G109">
        <f t="shared" si="21"/>
        <v>0.2301911871384932</v>
      </c>
      <c r="N109">
        <f t="shared" si="22"/>
        <v>2.4699999999999984</v>
      </c>
      <c r="O109">
        <f t="shared" si="23"/>
        <v>0.47466755760000057</v>
      </c>
    </row>
    <row r="110" spans="1:15" ht="12.75">
      <c r="A110">
        <v>330</v>
      </c>
      <c r="B110">
        <f t="shared" si="20"/>
        <v>3.523779026526733</v>
      </c>
      <c r="C110">
        <v>12876</v>
      </c>
      <c r="D110">
        <v>1784</v>
      </c>
      <c r="E110">
        <v>12</v>
      </c>
      <c r="F110">
        <v>268</v>
      </c>
      <c r="G110">
        <f t="shared" si="21"/>
        <v>0.16890150998068598</v>
      </c>
      <c r="N110">
        <f t="shared" si="22"/>
        <v>2.479999999999998</v>
      </c>
      <c r="O110">
        <f t="shared" si="23"/>
        <v>0.4709672704000003</v>
      </c>
    </row>
    <row r="115" spans="1:4" ht="12.75">
      <c r="A115" t="s">
        <v>15</v>
      </c>
      <c r="C115" s="3"/>
      <c r="D115" s="3"/>
    </row>
    <row r="117" spans="1:7" ht="12.75">
      <c r="A117" t="s">
        <v>0</v>
      </c>
      <c r="B117" t="s">
        <v>1</v>
      </c>
      <c r="C117" t="s">
        <v>2</v>
      </c>
      <c r="D117" t="s">
        <v>3</v>
      </c>
      <c r="E117" t="s">
        <v>4</v>
      </c>
      <c r="F117" t="s">
        <v>5</v>
      </c>
      <c r="G117" t="s">
        <v>6</v>
      </c>
    </row>
    <row r="118" spans="1:15" ht="12.75">
      <c r="A118">
        <v>85</v>
      </c>
      <c r="B118">
        <f aca="true" t="shared" si="24" ref="B118:B124">(A118-offset)/gain</f>
        <v>0.9929964465746631</v>
      </c>
      <c r="C118">
        <v>71359</v>
      </c>
      <c r="D118">
        <v>1730</v>
      </c>
      <c r="E118">
        <v>52</v>
      </c>
      <c r="F118">
        <v>1246</v>
      </c>
      <c r="G118">
        <f aca="true" t="shared" si="25" ref="G118:G124">corr*(F118+E118)/(D118-14*2)</f>
        <v>0.8078210191389495</v>
      </c>
      <c r="N118">
        <v>2.45</v>
      </c>
      <c r="O118">
        <f>0.069*N118^3-0.4962*N118^2+0.8557*N118+0.3822</f>
        <v>0.5149471250000001</v>
      </c>
    </row>
    <row r="119" spans="1:15" ht="12.75">
      <c r="A119">
        <v>150</v>
      </c>
      <c r="B119">
        <f t="shared" si="24"/>
        <v>1.6644285596231714</v>
      </c>
      <c r="C119">
        <v>45326</v>
      </c>
      <c r="D119">
        <v>1780</v>
      </c>
      <c r="E119">
        <v>34</v>
      </c>
      <c r="F119">
        <v>1226</v>
      </c>
      <c r="G119">
        <f t="shared" si="25"/>
        <v>0.7617920843991899</v>
      </c>
      <c r="N119">
        <f aca="true" t="shared" si="26" ref="N119:N125">N118+0.01</f>
        <v>2.46</v>
      </c>
      <c r="O119">
        <f aca="true" t="shared" si="27" ref="O119:O125">0.069*N119^3-0.4962*N119^2+0.8557*N119+0.3822</f>
        <v>0.511616664</v>
      </c>
    </row>
    <row r="120" spans="1:15" ht="12.75">
      <c r="A120">
        <v>180</v>
      </c>
      <c r="B120">
        <f t="shared" si="24"/>
        <v>1.9743203041070985</v>
      </c>
      <c r="C120">
        <v>37047</v>
      </c>
      <c r="D120">
        <v>1730</v>
      </c>
      <c r="E120">
        <v>30</v>
      </c>
      <c r="F120">
        <v>1037</v>
      </c>
      <c r="G120">
        <f t="shared" si="25"/>
        <v>0.6640562614955771</v>
      </c>
      <c r="N120">
        <f t="shared" si="26"/>
        <v>2.4699999999999998</v>
      </c>
      <c r="O120">
        <f t="shared" si="27"/>
        <v>0.5082888070000001</v>
      </c>
    </row>
    <row r="121" spans="1:15" ht="12.75">
      <c r="A121">
        <v>210</v>
      </c>
      <c r="B121">
        <f t="shared" si="24"/>
        <v>2.284212048591025</v>
      </c>
      <c r="C121">
        <v>31088</v>
      </c>
      <c r="D121">
        <v>1757</v>
      </c>
      <c r="E121">
        <v>28</v>
      </c>
      <c r="F121">
        <v>885</v>
      </c>
      <c r="G121">
        <f t="shared" si="25"/>
        <v>0.5593398951568108</v>
      </c>
      <c r="N121">
        <f t="shared" si="26"/>
        <v>2.4799999999999995</v>
      </c>
      <c r="O121">
        <f t="shared" si="27"/>
        <v>0.5049639680000005</v>
      </c>
    </row>
    <row r="122" spans="1:15" ht="12.75">
      <c r="A122">
        <v>240</v>
      </c>
      <c r="B122">
        <f t="shared" si="24"/>
        <v>2.5941037930749524</v>
      </c>
      <c r="C122">
        <v>25540</v>
      </c>
      <c r="D122">
        <v>1831</v>
      </c>
      <c r="E122">
        <v>13</v>
      </c>
      <c r="F122">
        <v>772</v>
      </c>
      <c r="G122">
        <f t="shared" si="25"/>
        <v>0.46118369275013155</v>
      </c>
      <c r="N122" s="2">
        <f t="shared" si="26"/>
        <v>2.4899999999999993</v>
      </c>
      <c r="O122" s="2">
        <f t="shared" si="27"/>
        <v>0.5016425610000009</v>
      </c>
    </row>
    <row r="123" spans="1:15" ht="12.75">
      <c r="A123">
        <v>270</v>
      </c>
      <c r="B123">
        <f t="shared" si="24"/>
        <v>2.9039955375588793</v>
      </c>
      <c r="C123">
        <v>21447</v>
      </c>
      <c r="D123">
        <v>1799</v>
      </c>
      <c r="E123">
        <v>17</v>
      </c>
      <c r="F123">
        <v>642</v>
      </c>
      <c r="G123">
        <f t="shared" si="25"/>
        <v>0.39415484180787635</v>
      </c>
      <c r="N123">
        <f t="shared" si="26"/>
        <v>2.499999999999999</v>
      </c>
      <c r="O123">
        <f t="shared" si="27"/>
        <v>0.4983250000000007</v>
      </c>
    </row>
    <row r="124" spans="1:15" ht="12.75">
      <c r="A124">
        <v>300</v>
      </c>
      <c r="B124">
        <f t="shared" si="24"/>
        <v>3.213887282042806</v>
      </c>
      <c r="C124">
        <v>17728</v>
      </c>
      <c r="D124">
        <v>1839</v>
      </c>
      <c r="E124">
        <v>8</v>
      </c>
      <c r="F124">
        <v>486</v>
      </c>
      <c r="G124">
        <f t="shared" si="25"/>
        <v>0.288940560570099</v>
      </c>
      <c r="N124">
        <f t="shared" si="26"/>
        <v>2.509999999999999</v>
      </c>
      <c r="O124">
        <f t="shared" si="27"/>
        <v>0.4950116990000003</v>
      </c>
    </row>
    <row r="125" spans="14:15" ht="12.75">
      <c r="N125">
        <f t="shared" si="26"/>
        <v>2.5199999999999987</v>
      </c>
      <c r="O125">
        <f t="shared" si="27"/>
        <v>0.49170307200000074</v>
      </c>
    </row>
    <row r="130" spans="1:4" ht="12.75">
      <c r="A130" t="s">
        <v>31</v>
      </c>
      <c r="B130" t="s">
        <v>30</v>
      </c>
      <c r="C130" s="3"/>
      <c r="D130" s="3"/>
    </row>
    <row r="132" spans="1:7" ht="12.75">
      <c r="A132" t="s">
        <v>0</v>
      </c>
      <c r="B132" t="s">
        <v>1</v>
      </c>
      <c r="C132" t="s">
        <v>2</v>
      </c>
      <c r="D132" t="s">
        <v>3</v>
      </c>
      <c r="E132" t="s">
        <v>4</v>
      </c>
      <c r="F132" t="s">
        <v>5</v>
      </c>
      <c r="G132" t="s">
        <v>6</v>
      </c>
    </row>
    <row r="133" spans="1:7" ht="12.75">
      <c r="A133">
        <v>85</v>
      </c>
      <c r="B133">
        <f aca="true" t="shared" si="28" ref="B133:B140">(A133-offset)/gain</f>
        <v>0.9929964465746631</v>
      </c>
      <c r="C133">
        <v>75082</v>
      </c>
      <c r="D133">
        <v>1752</v>
      </c>
      <c r="E133">
        <v>37</v>
      </c>
      <c r="F133">
        <v>1320</v>
      </c>
      <c r="G133">
        <f aca="true" t="shared" si="29" ref="G133:G140">corr*(F133+E133)/(D133-14*2)</f>
        <v>0.833762961801659</v>
      </c>
    </row>
    <row r="134" spans="1:15" ht="12.75">
      <c r="A134">
        <v>150</v>
      </c>
      <c r="B134">
        <f t="shared" si="28"/>
        <v>1.6644285596231714</v>
      </c>
      <c r="G134">
        <f t="shared" si="29"/>
        <v>0</v>
      </c>
      <c r="N134">
        <v>2.5</v>
      </c>
      <c r="O134">
        <f>-0.2711*N134+1.1835</f>
        <v>0.5057499999999999</v>
      </c>
    </row>
    <row r="135" spans="1:15" ht="12.75">
      <c r="A135">
        <v>180</v>
      </c>
      <c r="B135">
        <f t="shared" si="28"/>
        <v>1.9743203041070985</v>
      </c>
      <c r="G135">
        <f t="shared" si="29"/>
        <v>0</v>
      </c>
      <c r="N135">
        <f aca="true" t="shared" si="30" ref="N135:N141">N134+0.01</f>
        <v>2.51</v>
      </c>
      <c r="O135">
        <f aca="true" t="shared" si="31" ref="O135:O141">-0.2711*N135+1.1835</f>
        <v>0.503039</v>
      </c>
    </row>
    <row r="136" spans="1:15" ht="12.75">
      <c r="A136">
        <v>210</v>
      </c>
      <c r="B136">
        <f t="shared" si="28"/>
        <v>2.284212048591025</v>
      </c>
      <c r="C136">
        <v>31802</v>
      </c>
      <c r="D136">
        <v>1821</v>
      </c>
      <c r="E136">
        <v>18</v>
      </c>
      <c r="F136">
        <v>937</v>
      </c>
      <c r="G136">
        <f t="shared" si="29"/>
        <v>0.5641870253513879</v>
      </c>
      <c r="N136" s="2">
        <f t="shared" si="30"/>
        <v>2.5199999999999996</v>
      </c>
      <c r="O136" s="2">
        <f t="shared" si="31"/>
        <v>0.5003280000000001</v>
      </c>
    </row>
    <row r="137" spans="1:15" ht="12.75">
      <c r="A137">
        <v>240</v>
      </c>
      <c r="B137">
        <f t="shared" si="28"/>
        <v>2.5941037930749524</v>
      </c>
      <c r="C137">
        <v>26779</v>
      </c>
      <c r="D137">
        <v>1784</v>
      </c>
      <c r="E137">
        <v>25</v>
      </c>
      <c r="F137">
        <v>771</v>
      </c>
      <c r="G137">
        <f t="shared" si="29"/>
        <v>0.48016286408795017</v>
      </c>
      <c r="N137">
        <f t="shared" si="30"/>
        <v>2.5299999999999994</v>
      </c>
      <c r="O137">
        <f t="shared" si="31"/>
        <v>0.4976170000000002</v>
      </c>
    </row>
    <row r="138" spans="1:15" ht="12.75">
      <c r="A138">
        <v>270</v>
      </c>
      <c r="B138">
        <f t="shared" si="28"/>
        <v>2.9039955375588793</v>
      </c>
      <c r="G138">
        <f t="shared" si="29"/>
        <v>0</v>
      </c>
      <c r="N138">
        <f t="shared" si="30"/>
        <v>2.539999999999999</v>
      </c>
      <c r="O138">
        <f t="shared" si="31"/>
        <v>0.4949060000000002</v>
      </c>
    </row>
    <row r="139" spans="1:15" ht="12.75">
      <c r="A139">
        <v>300</v>
      </c>
      <c r="B139">
        <f t="shared" si="28"/>
        <v>3.213887282042806</v>
      </c>
      <c r="G139">
        <f t="shared" si="29"/>
        <v>0</v>
      </c>
      <c r="N139">
        <f t="shared" si="30"/>
        <v>2.549999999999999</v>
      </c>
      <c r="O139">
        <f t="shared" si="31"/>
        <v>0.49219500000000027</v>
      </c>
    </row>
    <row r="140" spans="1:15" ht="12.75">
      <c r="A140">
        <v>330</v>
      </c>
      <c r="B140">
        <f t="shared" si="28"/>
        <v>3.523779026526733</v>
      </c>
      <c r="G140">
        <f t="shared" si="29"/>
        <v>0</v>
      </c>
      <c r="N140">
        <f t="shared" si="30"/>
        <v>2.5599999999999987</v>
      </c>
      <c r="O140">
        <f t="shared" si="31"/>
        <v>0.48948400000000036</v>
      </c>
    </row>
    <row r="141" spans="14:15" ht="12.75">
      <c r="N141">
        <f t="shared" si="30"/>
        <v>2.5699999999999985</v>
      </c>
      <c r="O141">
        <f t="shared" si="31"/>
        <v>0.48677300000000034</v>
      </c>
    </row>
    <row r="145" spans="1:4" ht="12.75">
      <c r="A145" t="s">
        <v>32</v>
      </c>
      <c r="C145" s="3"/>
      <c r="D145" s="3"/>
    </row>
    <row r="147" spans="1:7" ht="12.75">
      <c r="A147" t="s">
        <v>0</v>
      </c>
      <c r="B147" t="s">
        <v>1</v>
      </c>
      <c r="C147" t="s">
        <v>2</v>
      </c>
      <c r="D147" t="s">
        <v>3</v>
      </c>
      <c r="E147" t="s">
        <v>4</v>
      </c>
      <c r="F147" t="s">
        <v>5</v>
      </c>
      <c r="G147" t="s">
        <v>6</v>
      </c>
    </row>
    <row r="148" spans="1:15" ht="12.75">
      <c r="A148">
        <v>85</v>
      </c>
      <c r="B148">
        <f aca="true" t="shared" si="32" ref="B148:B155">(A148-offset)/gain</f>
        <v>0.9929964465746631</v>
      </c>
      <c r="C148">
        <v>75198</v>
      </c>
      <c r="D148">
        <v>1893</v>
      </c>
      <c r="E148">
        <v>52</v>
      </c>
      <c r="F148">
        <v>1397</v>
      </c>
      <c r="G148">
        <f aca="true" t="shared" si="33" ref="G148:G155">corr*(F148+E148)/(D148-14*2)</f>
        <v>0.8229805317144707</v>
      </c>
      <c r="N148">
        <v>2.5</v>
      </c>
      <c r="O148">
        <f>0.1229*N148^2-0.9397*N148+2.103</f>
        <v>0.5218750000000001</v>
      </c>
    </row>
    <row r="149" spans="1:15" ht="12.75">
      <c r="A149">
        <v>150</v>
      </c>
      <c r="B149">
        <f t="shared" si="32"/>
        <v>1.6644285596231714</v>
      </c>
      <c r="G149">
        <f t="shared" si="33"/>
        <v>0</v>
      </c>
      <c r="N149">
        <f aca="true" t="shared" si="34" ref="N149:N156">N148+0.01</f>
        <v>2.51</v>
      </c>
      <c r="O149">
        <f aca="true" t="shared" si="35" ref="O149:O156">0.1229*N149^2-0.9397*N149+2.103</f>
        <v>0.5186352900000002</v>
      </c>
    </row>
    <row r="150" spans="1:15" ht="12.75">
      <c r="A150">
        <v>180</v>
      </c>
      <c r="B150">
        <f t="shared" si="32"/>
        <v>1.9743203041070985</v>
      </c>
      <c r="G150">
        <f t="shared" si="33"/>
        <v>0</v>
      </c>
      <c r="N150">
        <f t="shared" si="34"/>
        <v>2.5199999999999996</v>
      </c>
      <c r="O150">
        <f t="shared" si="35"/>
        <v>0.5154201600000006</v>
      </c>
    </row>
    <row r="151" spans="1:15" ht="12.75">
      <c r="A151">
        <v>210</v>
      </c>
      <c r="B151">
        <f t="shared" si="32"/>
        <v>2.284212048591025</v>
      </c>
      <c r="C151">
        <v>32922</v>
      </c>
      <c r="D151">
        <v>1784</v>
      </c>
      <c r="E151">
        <v>29</v>
      </c>
      <c r="F151">
        <v>962</v>
      </c>
      <c r="G151">
        <f t="shared" si="33"/>
        <v>0.5977907013959279</v>
      </c>
      <c r="N151">
        <f t="shared" si="34"/>
        <v>2.5299999999999994</v>
      </c>
      <c r="O151">
        <f t="shared" si="35"/>
        <v>0.5122296100000003</v>
      </c>
    </row>
    <row r="152" spans="1:15" ht="12.75">
      <c r="A152">
        <v>240</v>
      </c>
      <c r="B152">
        <f t="shared" si="32"/>
        <v>2.5941037930749524</v>
      </c>
      <c r="C152">
        <v>27551</v>
      </c>
      <c r="D152">
        <v>1749</v>
      </c>
      <c r="E152">
        <v>23</v>
      </c>
      <c r="F152">
        <v>777</v>
      </c>
      <c r="G152">
        <f t="shared" si="33"/>
        <v>0.4923898921326215</v>
      </c>
      <c r="N152">
        <f t="shared" si="34"/>
        <v>2.539999999999999</v>
      </c>
      <c r="O152">
        <f t="shared" si="35"/>
        <v>0.5090636400000004</v>
      </c>
    </row>
    <row r="153" spans="1:15" ht="12.75">
      <c r="A153">
        <v>270</v>
      </c>
      <c r="B153">
        <f t="shared" si="32"/>
        <v>2.9039955375588793</v>
      </c>
      <c r="C153">
        <v>23420</v>
      </c>
      <c r="D153">
        <v>1790</v>
      </c>
      <c r="E153">
        <v>18</v>
      </c>
      <c r="F153">
        <v>665</v>
      </c>
      <c r="G153">
        <f t="shared" si="33"/>
        <v>0.41059609249293777</v>
      </c>
      <c r="N153">
        <f t="shared" si="34"/>
        <v>2.549999999999999</v>
      </c>
      <c r="O153">
        <f t="shared" si="35"/>
        <v>0.5059222500000005</v>
      </c>
    </row>
    <row r="154" spans="1:15" ht="12.75">
      <c r="A154">
        <v>300</v>
      </c>
      <c r="B154">
        <f t="shared" si="32"/>
        <v>3.213887282042806</v>
      </c>
      <c r="G154">
        <f t="shared" si="33"/>
        <v>0</v>
      </c>
      <c r="N154">
        <f t="shared" si="34"/>
        <v>2.5599999999999987</v>
      </c>
      <c r="O154">
        <f t="shared" si="35"/>
        <v>0.5028054400000004</v>
      </c>
    </row>
    <row r="155" spans="1:15" ht="12.75">
      <c r="A155">
        <v>330</v>
      </c>
      <c r="B155">
        <f t="shared" si="32"/>
        <v>3.523779026526733</v>
      </c>
      <c r="G155">
        <f t="shared" si="33"/>
        <v>0</v>
      </c>
      <c r="N155" s="2">
        <f t="shared" si="34"/>
        <v>2.5699999999999985</v>
      </c>
      <c r="O155" s="2">
        <f t="shared" si="35"/>
        <v>0.49971321000000035</v>
      </c>
    </row>
    <row r="156" spans="14:15" ht="12.75">
      <c r="N156">
        <f t="shared" si="34"/>
        <v>2.5799999999999983</v>
      </c>
      <c r="O156">
        <f t="shared" si="35"/>
        <v>0.4966455600000008</v>
      </c>
    </row>
    <row r="159" spans="1:4" ht="12.75">
      <c r="A159" t="s">
        <v>33</v>
      </c>
      <c r="C159" s="3"/>
      <c r="D159" s="3"/>
    </row>
    <row r="161" spans="1:7" ht="12.75">
      <c r="A161" t="s">
        <v>0</v>
      </c>
      <c r="B161" t="s">
        <v>1</v>
      </c>
      <c r="C161" t="s">
        <v>2</v>
      </c>
      <c r="D161" t="s">
        <v>3</v>
      </c>
      <c r="E161" t="s">
        <v>4</v>
      </c>
      <c r="F161" t="s">
        <v>5</v>
      </c>
      <c r="G161" t="s">
        <v>6</v>
      </c>
    </row>
    <row r="162" spans="1:15" ht="12.75">
      <c r="A162">
        <v>85</v>
      </c>
      <c r="B162">
        <f aca="true" t="shared" si="36" ref="B162:B169">(A162-offset)/gain</f>
        <v>0.9929964465746631</v>
      </c>
      <c r="C162">
        <v>74159</v>
      </c>
      <c r="D162">
        <v>1734</v>
      </c>
      <c r="E162">
        <v>48</v>
      </c>
      <c r="F162">
        <v>1307</v>
      </c>
      <c r="G162">
        <f aca="true" t="shared" si="37" ref="G162:G169">corr*(F162+E162)/(D162-14*2)</f>
        <v>0.8413181938072447</v>
      </c>
      <c r="N162">
        <v>2.6</v>
      </c>
      <c r="O162">
        <f>-0.0839*N162^2+0.0787*N162+0.8768</f>
        <v>0.5142559999999999</v>
      </c>
    </row>
    <row r="163" spans="1:15" ht="12.75">
      <c r="A163">
        <v>150</v>
      </c>
      <c r="B163">
        <f t="shared" si="36"/>
        <v>1.6644285596231714</v>
      </c>
      <c r="G163">
        <f t="shared" si="37"/>
        <v>0</v>
      </c>
      <c r="N163">
        <f aca="true" t="shared" si="38" ref="N163:N169">N162+0.01</f>
        <v>2.61</v>
      </c>
      <c r="O163">
        <f aca="true" t="shared" si="39" ref="O163:O169">-0.0839*N163^2+0.0787*N163+0.8768</f>
        <v>0.5106718100000001</v>
      </c>
    </row>
    <row r="164" spans="1:15" ht="12.75">
      <c r="A164">
        <v>180</v>
      </c>
      <c r="B164">
        <f t="shared" si="36"/>
        <v>1.9743203041070985</v>
      </c>
      <c r="G164">
        <f t="shared" si="37"/>
        <v>0</v>
      </c>
      <c r="N164">
        <f t="shared" si="38"/>
        <v>2.6199999999999997</v>
      </c>
      <c r="O164">
        <f t="shared" si="39"/>
        <v>0.5070708400000001</v>
      </c>
    </row>
    <row r="165" spans="1:15" ht="12.75">
      <c r="A165">
        <v>210</v>
      </c>
      <c r="B165">
        <f t="shared" si="36"/>
        <v>2.284212048591025</v>
      </c>
      <c r="C165">
        <v>33393</v>
      </c>
      <c r="D165">
        <v>1738</v>
      </c>
      <c r="E165">
        <v>32</v>
      </c>
      <c r="F165">
        <v>967</v>
      </c>
      <c r="G165">
        <f t="shared" si="37"/>
        <v>0.6188271939735975</v>
      </c>
      <c r="N165">
        <f t="shared" si="38"/>
        <v>2.6299999999999994</v>
      </c>
      <c r="O165">
        <f t="shared" si="39"/>
        <v>0.5034530900000002</v>
      </c>
    </row>
    <row r="166" spans="1:15" ht="12.75">
      <c r="A166">
        <v>240</v>
      </c>
      <c r="B166">
        <f t="shared" si="36"/>
        <v>2.5941037930749524</v>
      </c>
      <c r="C166">
        <v>28659</v>
      </c>
      <c r="D166">
        <v>1708</v>
      </c>
      <c r="E166">
        <v>19</v>
      </c>
      <c r="F166">
        <v>800</v>
      </c>
      <c r="G166">
        <f t="shared" si="37"/>
        <v>0.5163862057820223</v>
      </c>
      <c r="N166" s="2">
        <f t="shared" si="38"/>
        <v>2.6399999999999992</v>
      </c>
      <c r="O166" s="2">
        <f t="shared" si="39"/>
        <v>0.49981856000000024</v>
      </c>
    </row>
    <row r="167" spans="1:15" ht="12.75">
      <c r="A167">
        <v>270</v>
      </c>
      <c r="B167">
        <f t="shared" si="36"/>
        <v>2.9039955375588793</v>
      </c>
      <c r="C167">
        <v>23824</v>
      </c>
      <c r="D167">
        <v>1756</v>
      </c>
      <c r="E167">
        <v>20</v>
      </c>
      <c r="F167">
        <v>629</v>
      </c>
      <c r="G167">
        <f t="shared" si="37"/>
        <v>0.3978331523653044</v>
      </c>
      <c r="N167">
        <f t="shared" si="38"/>
        <v>2.649999999999999</v>
      </c>
      <c r="O167">
        <f t="shared" si="39"/>
        <v>0.4961672500000004</v>
      </c>
    </row>
    <row r="168" spans="1:15" ht="12.75">
      <c r="A168">
        <v>300</v>
      </c>
      <c r="B168">
        <f t="shared" si="36"/>
        <v>3.213887282042806</v>
      </c>
      <c r="G168">
        <f t="shared" si="37"/>
        <v>0</v>
      </c>
      <c r="N168">
        <f t="shared" si="38"/>
        <v>2.659999999999999</v>
      </c>
      <c r="O168">
        <f t="shared" si="39"/>
        <v>0.4924991600000005</v>
      </c>
    </row>
    <row r="169" spans="1:15" ht="12.75">
      <c r="A169">
        <v>330</v>
      </c>
      <c r="B169">
        <f t="shared" si="36"/>
        <v>3.523779026526733</v>
      </c>
      <c r="G169">
        <f t="shared" si="37"/>
        <v>0</v>
      </c>
      <c r="N169">
        <f t="shared" si="38"/>
        <v>2.6699999999999986</v>
      </c>
      <c r="O169">
        <f t="shared" si="39"/>
        <v>0.48881429000000054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8"/>
  <sheetViews>
    <sheetView workbookViewId="0" topLeftCell="A1">
      <selection activeCell="G5" sqref="G5"/>
    </sheetView>
  </sheetViews>
  <sheetFormatPr defaultColWidth="9.140625" defaultRowHeight="12.75"/>
  <cols>
    <col min="1" max="1" width="10.28125" style="0" customWidth="1"/>
  </cols>
  <sheetData>
    <row r="1" spans="1:14" ht="12.75">
      <c r="A1" t="s">
        <v>37</v>
      </c>
      <c r="F1" s="9" t="s">
        <v>46</v>
      </c>
      <c r="G1" s="9"/>
      <c r="L1" t="s">
        <v>34</v>
      </c>
      <c r="M1" t="s">
        <v>35</v>
      </c>
      <c r="N1" t="s">
        <v>18</v>
      </c>
    </row>
    <row r="2" spans="7:13" ht="12.75">
      <c r="G2" t="s">
        <v>47</v>
      </c>
      <c r="L2">
        <v>20</v>
      </c>
      <c r="M2">
        <f>G10</f>
        <v>0.3153691992413005</v>
      </c>
    </row>
    <row r="3" spans="7:14" ht="12.75">
      <c r="G3">
        <v>1.0896119275944935</v>
      </c>
      <c r="L3">
        <v>30</v>
      </c>
      <c r="M3">
        <f>G20</f>
        <v>0.6109317145051832</v>
      </c>
      <c r="N3">
        <f>N22</f>
        <v>1.12</v>
      </c>
    </row>
    <row r="4" spans="7:14" ht="12.75">
      <c r="G4" t="s">
        <v>48</v>
      </c>
      <c r="L4">
        <v>40</v>
      </c>
      <c r="M4">
        <f>G31</f>
        <v>0.6879556656102277</v>
      </c>
      <c r="N4">
        <f>N34</f>
        <v>1.33</v>
      </c>
    </row>
    <row r="5" spans="7:14" ht="12.75">
      <c r="G5">
        <v>1.006331611080547</v>
      </c>
      <c r="L5">
        <v>50</v>
      </c>
      <c r="M5">
        <f>G43</f>
        <v>0.7503393935397769</v>
      </c>
      <c r="N5">
        <f>N48</f>
        <v>1.52</v>
      </c>
    </row>
    <row r="6" spans="12:14" ht="12.75">
      <c r="L6">
        <v>80</v>
      </c>
      <c r="M6">
        <f>G56</f>
        <v>0.7955868147720958</v>
      </c>
      <c r="N6">
        <f>N57</f>
        <v>1.92</v>
      </c>
    </row>
    <row r="7" spans="1:14" ht="12.75">
      <c r="A7" t="s">
        <v>7</v>
      </c>
      <c r="B7" t="s">
        <v>42</v>
      </c>
      <c r="L7">
        <v>100</v>
      </c>
      <c r="M7">
        <f>G71</f>
        <v>0.8142473392224876</v>
      </c>
      <c r="N7">
        <f>N76</f>
        <v>2.049999999999999</v>
      </c>
    </row>
    <row r="8" spans="12:14" ht="12.75">
      <c r="L8">
        <v>150</v>
      </c>
      <c r="M8">
        <f>G87</f>
        <v>0.8110505272771141</v>
      </c>
      <c r="N8">
        <f>N92</f>
        <v>2.299999999999999</v>
      </c>
    </row>
    <row r="9" spans="1:14" ht="12.75">
      <c r="A9" t="s">
        <v>0</v>
      </c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L9">
        <v>200</v>
      </c>
      <c r="M9">
        <f>G101</f>
        <v>0.7789945217379984</v>
      </c>
      <c r="N9">
        <f>N105</f>
        <v>2.439999999999999</v>
      </c>
    </row>
    <row r="10" spans="1:14" ht="12.75">
      <c r="A10" s="9">
        <v>85</v>
      </c>
      <c r="B10">
        <f>(A10-offset)/gain</f>
        <v>0.9929964465746631</v>
      </c>
      <c r="C10">
        <v>16948</v>
      </c>
      <c r="D10">
        <v>1949</v>
      </c>
      <c r="E10">
        <v>16</v>
      </c>
      <c r="F10">
        <v>540</v>
      </c>
      <c r="G10">
        <f>corr15*(F10+E10)/(D10-14*2)</f>
        <v>0.3153691992413005</v>
      </c>
      <c r="L10">
        <v>250</v>
      </c>
      <c r="M10">
        <f>G116</f>
        <v>0.8287119222149354</v>
      </c>
      <c r="N10" s="4">
        <f>N122</f>
        <v>2.5699999999999985</v>
      </c>
    </row>
    <row r="11" spans="1:14" ht="12.75">
      <c r="A11">
        <v>100</v>
      </c>
      <c r="B11">
        <f>(A11-offset)/gain</f>
        <v>1.1479423188166267</v>
      </c>
      <c r="L11">
        <v>300</v>
      </c>
      <c r="M11">
        <f>G131</f>
        <v>0.8166869662627431</v>
      </c>
      <c r="N11" s="4">
        <f>N134</f>
        <v>2.589999999999999</v>
      </c>
    </row>
    <row r="12" spans="1:14" ht="12.75">
      <c r="A12">
        <v>120</v>
      </c>
      <c r="B12">
        <f>(A12-offset)/gain</f>
        <v>1.3545368151392445</v>
      </c>
      <c r="L12">
        <v>350</v>
      </c>
      <c r="M12">
        <f>G146</f>
        <v>0.8095858188172241</v>
      </c>
      <c r="N12" s="4">
        <f>N151</f>
        <v>2.749999999999999</v>
      </c>
    </row>
    <row r="13" spans="12:14" ht="12.75">
      <c r="L13">
        <v>400</v>
      </c>
      <c r="M13">
        <f>G160</f>
        <v>0.8225483916838379</v>
      </c>
      <c r="N13" s="4">
        <f>N167</f>
        <v>2.759999999999999</v>
      </c>
    </row>
    <row r="17" spans="1:2" ht="12.75">
      <c r="A17" t="s">
        <v>8</v>
      </c>
      <c r="B17" t="s">
        <v>43</v>
      </c>
    </row>
    <row r="19" spans="1:7" ht="12.75">
      <c r="A19" t="s">
        <v>0</v>
      </c>
      <c r="B19" t="s">
        <v>1</v>
      </c>
      <c r="C19" t="s">
        <v>2</v>
      </c>
      <c r="D19" t="s">
        <v>3</v>
      </c>
      <c r="E19" t="s">
        <v>4</v>
      </c>
      <c r="F19" t="s">
        <v>5</v>
      </c>
      <c r="G19" t="s">
        <v>6</v>
      </c>
    </row>
    <row r="20" spans="1:15" ht="12.75">
      <c r="A20" s="9">
        <v>85</v>
      </c>
      <c r="B20">
        <f>(A20-offset)/gain</f>
        <v>0.9929964465746631</v>
      </c>
      <c r="C20">
        <v>27094</v>
      </c>
      <c r="D20">
        <v>1890</v>
      </c>
      <c r="E20">
        <v>58</v>
      </c>
      <c r="F20">
        <v>986</v>
      </c>
      <c r="G20">
        <f>corr15*(F20+E20)/(D20-14*2)</f>
        <v>0.6109317145051832</v>
      </c>
      <c r="N20">
        <v>1.1</v>
      </c>
      <c r="O20">
        <f>1.8284*N20^3-6.6136*N20^2+6.9831*N20-1.5922</f>
        <v>0.5203544000000013</v>
      </c>
    </row>
    <row r="21" spans="1:15" ht="12.75">
      <c r="A21" s="9">
        <v>100</v>
      </c>
      <c r="B21">
        <f>(A21-offset)/gain</f>
        <v>1.1479423188166267</v>
      </c>
      <c r="C21">
        <v>22269</v>
      </c>
      <c r="D21">
        <v>1883</v>
      </c>
      <c r="E21">
        <v>36</v>
      </c>
      <c r="F21">
        <v>772</v>
      </c>
      <c r="G21">
        <f>corr15*(F21+E21)/(D21-14*2)</f>
        <v>0.4746126347689223</v>
      </c>
      <c r="N21">
        <f>N20+0.01</f>
        <v>1.11</v>
      </c>
      <c r="O21">
        <f>1.8284*N21^3-6.6136*N21^2+6.9831*N21-1.5922</f>
        <v>0.5110009604000014</v>
      </c>
    </row>
    <row r="22" spans="1:15" ht="12.75">
      <c r="A22">
        <v>120</v>
      </c>
      <c r="B22">
        <f>(A22-offset)/gain</f>
        <v>1.3545368151392445</v>
      </c>
      <c r="C22">
        <v>15733</v>
      </c>
      <c r="D22">
        <v>1937</v>
      </c>
      <c r="E22">
        <v>14</v>
      </c>
      <c r="F22">
        <v>510</v>
      </c>
      <c r="G22">
        <f>corr1522*(F22+E22)/(D22-14*2)</f>
        <v>0.27622722064232924</v>
      </c>
      <c r="N22" s="2">
        <f>N21+0.01</f>
        <v>1.12</v>
      </c>
      <c r="O22" s="2">
        <f>1.8284*N22^3-6.6136*N22^2+6.9831*N22-1.5922</f>
        <v>0.5015425151999997</v>
      </c>
    </row>
    <row r="23" spans="1:15" ht="12.75">
      <c r="A23">
        <v>150</v>
      </c>
      <c r="B23">
        <f>(A23-offset)/gain</f>
        <v>1.6644285596231714</v>
      </c>
      <c r="C23">
        <v>9931</v>
      </c>
      <c r="D23">
        <v>2055</v>
      </c>
      <c r="E23">
        <v>8</v>
      </c>
      <c r="F23">
        <v>273</v>
      </c>
      <c r="G23">
        <f>corr1522*(F23+E23)/(D23-14*2)</f>
        <v>0.13950625688881782</v>
      </c>
      <c r="N23">
        <f>N22+0.01</f>
        <v>1.1300000000000001</v>
      </c>
      <c r="O23">
        <f>1.8284*N23^3-6.6136*N23^2+6.9831*N23-1.5922</f>
        <v>0.4919900348000006</v>
      </c>
    </row>
    <row r="24" spans="14:15" ht="12.75">
      <c r="N24">
        <f>N23+0.01</f>
        <v>1.1400000000000001</v>
      </c>
      <c r="O24">
        <f>1.8284*N24^3-6.6136*N24^2+6.9831*N24-1.5922</f>
        <v>0.4823544895999996</v>
      </c>
    </row>
    <row r="28" spans="1:2" ht="12.75">
      <c r="A28" t="s">
        <v>9</v>
      </c>
      <c r="B28" t="s">
        <v>38</v>
      </c>
    </row>
    <row r="30" spans="1:7" ht="12.75">
      <c r="A30" t="s">
        <v>0</v>
      </c>
      <c r="B30" t="s">
        <v>1</v>
      </c>
      <c r="C30" t="s">
        <v>2</v>
      </c>
      <c r="D30" t="s">
        <v>3</v>
      </c>
      <c r="E30" t="s">
        <v>4</v>
      </c>
      <c r="F30" t="s">
        <v>5</v>
      </c>
      <c r="G30" t="s">
        <v>6</v>
      </c>
    </row>
    <row r="31" spans="1:15" ht="12.75">
      <c r="A31">
        <v>85</v>
      </c>
      <c r="B31">
        <f>(A31-offset)/gain</f>
        <v>0.9929964465746631</v>
      </c>
      <c r="C31">
        <v>35687</v>
      </c>
      <c r="D31">
        <v>2013</v>
      </c>
      <c r="E31">
        <v>44</v>
      </c>
      <c r="F31">
        <v>1313</v>
      </c>
      <c r="G31">
        <f>corr1522*(F31+E31)/(D31-14*2)</f>
        <v>0.6879556656102277</v>
      </c>
      <c r="N31">
        <v>1.3</v>
      </c>
      <c r="O31">
        <f>0.7605*N31^3-3.2564*N31^2+3.902*N31-0.7198</f>
        <v>0.5203024999999999</v>
      </c>
    </row>
    <row r="32" spans="1:15" ht="12.75">
      <c r="A32" s="1">
        <v>100</v>
      </c>
      <c r="B32">
        <f>(A32-offset)/gain</f>
        <v>1.1479423188166267</v>
      </c>
      <c r="C32">
        <v>30375</v>
      </c>
      <c r="D32">
        <v>2046</v>
      </c>
      <c r="E32">
        <v>33</v>
      </c>
      <c r="F32">
        <v>1211</v>
      </c>
      <c r="G32">
        <f>corr1522*(F32+E32)/(D32-14*2)</f>
        <v>0.6203550664936573</v>
      </c>
      <c r="N32">
        <f aca="true" t="shared" si="0" ref="N32:N37">N31+0.01</f>
        <v>1.31</v>
      </c>
      <c r="O32">
        <f aca="true" t="shared" si="1" ref="O32:O37">0.7605*N32^3-3.2564*N32^2+3.902*N32-0.7198</f>
        <v>0.5131851654999997</v>
      </c>
    </row>
    <row r="33" spans="1:15" ht="12.75">
      <c r="A33">
        <v>120</v>
      </c>
      <c r="B33">
        <f>(A33-offset)/gain</f>
        <v>1.3545368151392445</v>
      </c>
      <c r="C33" s="1">
        <v>23444</v>
      </c>
      <c r="D33" s="1">
        <v>1995</v>
      </c>
      <c r="E33" s="1">
        <v>42</v>
      </c>
      <c r="F33" s="1">
        <v>895</v>
      </c>
      <c r="G33">
        <f>corr1522*(F33+E33)/(D33-14*2)</f>
        <v>0.4793760648614502</v>
      </c>
      <c r="N33">
        <f t="shared" si="0"/>
        <v>1.32</v>
      </c>
      <c r="O33">
        <f t="shared" si="1"/>
        <v>0.5060143039999991</v>
      </c>
    </row>
    <row r="34" spans="1:15" ht="12.75">
      <c r="A34">
        <v>150</v>
      </c>
      <c r="B34">
        <f>(A34-offset)/gain</f>
        <v>1.6644285596231714</v>
      </c>
      <c r="C34" s="1">
        <v>16183</v>
      </c>
      <c r="D34" s="1">
        <v>2018</v>
      </c>
      <c r="E34" s="1">
        <v>21</v>
      </c>
      <c r="F34" s="1">
        <v>495</v>
      </c>
      <c r="G34">
        <f>corr1522*(F34+E34)/(D34-14*2)</f>
        <v>0.26093824689324735</v>
      </c>
      <c r="N34" s="2">
        <f t="shared" si="0"/>
        <v>1.33</v>
      </c>
      <c r="O34" s="2">
        <f t="shared" si="1"/>
        <v>0.4987944785</v>
      </c>
    </row>
    <row r="35" spans="1:15" ht="12.75">
      <c r="A35">
        <v>180</v>
      </c>
      <c r="B35">
        <f>(A35-offset)/gain</f>
        <v>1.9743203041070985</v>
      </c>
      <c r="C35" s="1">
        <v>11284</v>
      </c>
      <c r="D35" s="1">
        <v>1951</v>
      </c>
      <c r="E35" s="1">
        <v>7</v>
      </c>
      <c r="F35" s="1">
        <v>267</v>
      </c>
      <c r="G35">
        <f>corr1522*(F35+E35)/(D35-14*2)</f>
        <v>0.14338786346129478</v>
      </c>
      <c r="N35">
        <f t="shared" si="0"/>
        <v>1.34</v>
      </c>
      <c r="O35">
        <f t="shared" si="1"/>
        <v>0.4915302519999998</v>
      </c>
    </row>
    <row r="36" spans="14:15" ht="12.75">
      <c r="N36">
        <f t="shared" si="0"/>
        <v>1.35</v>
      </c>
      <c r="O36">
        <f t="shared" si="1"/>
        <v>0.48422618749999935</v>
      </c>
    </row>
    <row r="37" spans="14:15" ht="12.75">
      <c r="N37">
        <f t="shared" si="0"/>
        <v>1.36</v>
      </c>
      <c r="O37">
        <f t="shared" si="1"/>
        <v>0.4768868479999997</v>
      </c>
    </row>
    <row r="40" ht="12.75">
      <c r="A40" t="s">
        <v>44</v>
      </c>
    </row>
    <row r="42" spans="1:7" ht="12.75">
      <c r="A42" t="s">
        <v>0</v>
      </c>
      <c r="B42" t="s">
        <v>1</v>
      </c>
      <c r="C42" t="s">
        <v>2</v>
      </c>
      <c r="D42" t="s">
        <v>3</v>
      </c>
      <c r="E42" t="s">
        <v>4</v>
      </c>
      <c r="F42" t="s">
        <v>5</v>
      </c>
      <c r="G42" t="s">
        <v>6</v>
      </c>
    </row>
    <row r="43" spans="1:15" ht="12.75">
      <c r="A43">
        <v>85</v>
      </c>
      <c r="B43">
        <f aca="true" t="shared" si="2" ref="B43:B49">(A43-offset)/gain</f>
        <v>0.9929964465746631</v>
      </c>
      <c r="C43">
        <v>45155</v>
      </c>
      <c r="D43">
        <v>2025</v>
      </c>
      <c r="E43">
        <v>48</v>
      </c>
      <c r="F43">
        <v>1441</v>
      </c>
      <c r="G43">
        <f aca="true" t="shared" si="3" ref="G43:G49">corr1522*(F43+E43)/(D43-14*2)</f>
        <v>0.7503393935397769</v>
      </c>
      <c r="N43">
        <v>1.47</v>
      </c>
      <c r="O43">
        <f>0.2351*N43^3-1.1397*N43^2+1.2506*N43+0.4094</f>
        <v>0.5318048273000002</v>
      </c>
    </row>
    <row r="44" spans="1:15" ht="12.75">
      <c r="A44" s="1">
        <v>100</v>
      </c>
      <c r="B44">
        <f t="shared" si="2"/>
        <v>1.1479423188166267</v>
      </c>
      <c r="C44">
        <v>39443</v>
      </c>
      <c r="D44">
        <v>1891</v>
      </c>
      <c r="E44">
        <v>43</v>
      </c>
      <c r="F44">
        <v>1264</v>
      </c>
      <c r="G44">
        <f t="shared" si="3"/>
        <v>0.7059986128192565</v>
      </c>
      <c r="N44">
        <f aca="true" t="shared" si="4" ref="N44:N49">N43+0.01</f>
        <v>1.48</v>
      </c>
      <c r="O44">
        <f aca="true" t="shared" si="5" ref="O44:O49">0.2351*N44^3-1.1397*N44^2+1.2506*N44+0.4094</f>
        <v>0.5260344192000002</v>
      </c>
    </row>
    <row r="45" spans="1:15" ht="12.75">
      <c r="A45">
        <v>120</v>
      </c>
      <c r="B45">
        <f t="shared" si="2"/>
        <v>1.3545368151392445</v>
      </c>
      <c r="C45">
        <v>31321</v>
      </c>
      <c r="D45">
        <v>1957</v>
      </c>
      <c r="E45">
        <v>35</v>
      </c>
      <c r="F45">
        <v>1128</v>
      </c>
      <c r="G45">
        <f t="shared" si="3"/>
        <v>0.606720406265773</v>
      </c>
      <c r="N45">
        <f t="shared" si="4"/>
        <v>1.49</v>
      </c>
      <c r="O45">
        <f t="shared" si="5"/>
        <v>0.5202448398999999</v>
      </c>
    </row>
    <row r="46" spans="1:15" ht="12.75">
      <c r="A46">
        <v>150</v>
      </c>
      <c r="B46">
        <f t="shared" si="2"/>
        <v>1.6644285596231714</v>
      </c>
      <c r="C46">
        <v>22293</v>
      </c>
      <c r="D46">
        <v>1982</v>
      </c>
      <c r="E46">
        <v>24</v>
      </c>
      <c r="F46">
        <v>769</v>
      </c>
      <c r="G46">
        <f t="shared" si="3"/>
        <v>0.4084037705152885</v>
      </c>
      <c r="N46">
        <f t="shared" si="4"/>
        <v>1.5</v>
      </c>
      <c r="O46">
        <f t="shared" si="5"/>
        <v>0.5144375000000001</v>
      </c>
    </row>
    <row r="47" spans="1:15" ht="12.75">
      <c r="A47">
        <v>180</v>
      </c>
      <c r="B47">
        <f t="shared" si="2"/>
        <v>1.9743203041070985</v>
      </c>
      <c r="C47">
        <v>15440</v>
      </c>
      <c r="D47">
        <v>1941</v>
      </c>
      <c r="E47">
        <v>15</v>
      </c>
      <c r="F47">
        <v>429</v>
      </c>
      <c r="G47">
        <f t="shared" si="3"/>
        <v>0.23356572677457543</v>
      </c>
      <c r="N47">
        <f t="shared" si="4"/>
        <v>1.51</v>
      </c>
      <c r="O47">
        <f t="shared" si="5"/>
        <v>0.5086138101000002</v>
      </c>
    </row>
    <row r="48" spans="1:15" ht="12.75">
      <c r="A48">
        <v>210</v>
      </c>
      <c r="B48">
        <f t="shared" si="2"/>
        <v>2.284212048591025</v>
      </c>
      <c r="C48">
        <v>11248</v>
      </c>
      <c r="D48">
        <v>1925</v>
      </c>
      <c r="E48">
        <v>10</v>
      </c>
      <c r="F48">
        <v>254</v>
      </c>
      <c r="G48">
        <f t="shared" si="3"/>
        <v>0.1400482579468974</v>
      </c>
      <c r="N48" s="2">
        <f t="shared" si="4"/>
        <v>1.52</v>
      </c>
      <c r="O48" s="2">
        <f t="shared" si="5"/>
        <v>0.5027751808</v>
      </c>
    </row>
    <row r="49" spans="1:15" ht="12.75">
      <c r="A49">
        <v>240</v>
      </c>
      <c r="B49">
        <f t="shared" si="2"/>
        <v>2.5941037930749524</v>
      </c>
      <c r="C49">
        <v>8230</v>
      </c>
      <c r="D49">
        <v>1937</v>
      </c>
      <c r="E49">
        <v>6</v>
      </c>
      <c r="F49">
        <v>151</v>
      </c>
      <c r="G49">
        <f t="shared" si="3"/>
        <v>0.08276273595581239</v>
      </c>
      <c r="N49">
        <f t="shared" si="4"/>
        <v>1.53</v>
      </c>
      <c r="O49">
        <f t="shared" si="5"/>
        <v>0.4969230226999999</v>
      </c>
    </row>
    <row r="53" spans="1:2" ht="12.75">
      <c r="A53" t="s">
        <v>11</v>
      </c>
      <c r="B53" t="s">
        <v>45</v>
      </c>
    </row>
    <row r="55" spans="1:15" ht="12.75">
      <c r="A55" t="s">
        <v>0</v>
      </c>
      <c r="B55" t="s">
        <v>1</v>
      </c>
      <c r="C55" t="s">
        <v>2</v>
      </c>
      <c r="D55" t="s">
        <v>3</v>
      </c>
      <c r="E55" t="s">
        <v>4</v>
      </c>
      <c r="F55" t="s">
        <v>5</v>
      </c>
      <c r="G55" t="s">
        <v>6</v>
      </c>
      <c r="N55">
        <v>1.9</v>
      </c>
      <c r="O55">
        <f>0.1971*N55^3-1.1677*N55^2+1.7918*N55-0.0307</f>
        <v>0.5102319000000004</v>
      </c>
    </row>
    <row r="56" spans="1:15" ht="12.75">
      <c r="A56">
        <v>85</v>
      </c>
      <c r="B56">
        <f aca="true" t="shared" si="6" ref="B56:B63">(A56-offset)/gain</f>
        <v>0.9929964465746631</v>
      </c>
      <c r="C56">
        <v>59726</v>
      </c>
      <c r="D56">
        <v>2024</v>
      </c>
      <c r="E56">
        <v>54</v>
      </c>
      <c r="F56">
        <v>1524</v>
      </c>
      <c r="G56">
        <f aca="true" t="shared" si="7" ref="G56:G63">corr1522*(F56+E56)/(D56-14*2)</f>
        <v>0.7955868147720958</v>
      </c>
      <c r="N56">
        <f aca="true" t="shared" si="8" ref="N56:N63">N55+0.01</f>
        <v>1.91</v>
      </c>
      <c r="O56">
        <f aca="true" t="shared" si="9" ref="O56:O63">0.1971*N56^3-1.1677*N56^2+1.7918*N56-0.0307</f>
        <v>0.5051190041000004</v>
      </c>
    </row>
    <row r="57" spans="1:15" ht="12.75">
      <c r="A57" s="1">
        <v>100</v>
      </c>
      <c r="B57">
        <f t="shared" si="6"/>
        <v>1.1479423188166267</v>
      </c>
      <c r="C57">
        <v>51663</v>
      </c>
      <c r="D57">
        <v>1908</v>
      </c>
      <c r="E57">
        <v>56</v>
      </c>
      <c r="F57">
        <v>1392</v>
      </c>
      <c r="G57">
        <f t="shared" si="7"/>
        <v>0.7750894536407616</v>
      </c>
      <c r="N57" s="2">
        <f t="shared" si="8"/>
        <v>1.92</v>
      </c>
      <c r="O57" s="2">
        <f t="shared" si="9"/>
        <v>0.49999844480000094</v>
      </c>
    </row>
    <row r="58" spans="1:15" ht="12.75">
      <c r="A58">
        <v>120</v>
      </c>
      <c r="B58">
        <f t="shared" si="6"/>
        <v>1.3545368151392445</v>
      </c>
      <c r="C58">
        <v>42667</v>
      </c>
      <c r="D58">
        <v>1879</v>
      </c>
      <c r="E58">
        <v>45</v>
      </c>
      <c r="F58">
        <v>1329</v>
      </c>
      <c r="G58">
        <f t="shared" si="7"/>
        <v>0.747001422811816</v>
      </c>
      <c r="N58">
        <f t="shared" si="8"/>
        <v>1.93</v>
      </c>
      <c r="O58">
        <f t="shared" si="9"/>
        <v>0.4948714046999995</v>
      </c>
    </row>
    <row r="59" spans="1:15" ht="12.75">
      <c r="A59">
        <v>150</v>
      </c>
      <c r="B59">
        <f t="shared" si="6"/>
        <v>1.6644285596231714</v>
      </c>
      <c r="C59">
        <v>33060</v>
      </c>
      <c r="D59">
        <v>1923</v>
      </c>
      <c r="E59">
        <v>37</v>
      </c>
      <c r="F59">
        <v>1150</v>
      </c>
      <c r="G59">
        <f t="shared" si="7"/>
        <v>0.6303512519011131</v>
      </c>
      <c r="N59">
        <f t="shared" si="8"/>
        <v>1.94</v>
      </c>
      <c r="O59">
        <f t="shared" si="9"/>
        <v>0.4897390663999998</v>
      </c>
    </row>
    <row r="60" spans="1:15" ht="12.75">
      <c r="A60">
        <v>180</v>
      </c>
      <c r="B60">
        <f t="shared" si="6"/>
        <v>1.9743203041070985</v>
      </c>
      <c r="C60">
        <v>25585</v>
      </c>
      <c r="D60">
        <v>2014</v>
      </c>
      <c r="E60">
        <v>25</v>
      </c>
      <c r="F60">
        <v>906</v>
      </c>
      <c r="G60">
        <f t="shared" si="7"/>
        <v>0.4717496122437005</v>
      </c>
      <c r="N60">
        <f t="shared" si="8"/>
        <v>1.95</v>
      </c>
      <c r="O60">
        <f t="shared" si="9"/>
        <v>0.48460261249999975</v>
      </c>
    </row>
    <row r="61" spans="1:15" ht="12.75">
      <c r="A61">
        <v>210</v>
      </c>
      <c r="B61">
        <f t="shared" si="6"/>
        <v>2.284212048591025</v>
      </c>
      <c r="C61">
        <v>19356</v>
      </c>
      <c r="D61">
        <v>1886</v>
      </c>
      <c r="E61">
        <v>14</v>
      </c>
      <c r="F61">
        <v>563</v>
      </c>
      <c r="G61">
        <f t="shared" si="7"/>
        <v>0.3125152527413755</v>
      </c>
      <c r="N61">
        <f t="shared" si="8"/>
        <v>1.96</v>
      </c>
      <c r="O61">
        <f t="shared" si="9"/>
        <v>0.4794632256000004</v>
      </c>
    </row>
    <row r="62" spans="1:15" ht="12.75">
      <c r="A62">
        <v>240</v>
      </c>
      <c r="B62">
        <f t="shared" si="6"/>
        <v>2.5941037930749524</v>
      </c>
      <c r="C62">
        <v>14812</v>
      </c>
      <c r="D62">
        <v>1927</v>
      </c>
      <c r="E62">
        <v>11</v>
      </c>
      <c r="F62">
        <v>376</v>
      </c>
      <c r="G62">
        <f t="shared" si="7"/>
        <v>0.20508179751878444</v>
      </c>
      <c r="N62">
        <f t="shared" si="8"/>
        <v>1.97</v>
      </c>
      <c r="O62">
        <f t="shared" si="9"/>
        <v>0.4743220883000005</v>
      </c>
    </row>
    <row r="63" spans="1:15" ht="12.75">
      <c r="A63">
        <v>270</v>
      </c>
      <c r="B63">
        <f t="shared" si="6"/>
        <v>2.9039955375588793</v>
      </c>
      <c r="C63">
        <v>11275</v>
      </c>
      <c r="D63">
        <v>1980</v>
      </c>
      <c r="E63">
        <v>6</v>
      </c>
      <c r="F63">
        <v>287</v>
      </c>
      <c r="G63">
        <f t="shared" si="7"/>
        <v>0.15105284940911898</v>
      </c>
      <c r="N63">
        <f t="shared" si="8"/>
        <v>1.98</v>
      </c>
      <c r="O63">
        <f t="shared" si="9"/>
        <v>0.4691803832000003</v>
      </c>
    </row>
    <row r="68" spans="1:4" ht="12.75">
      <c r="A68" t="s">
        <v>13</v>
      </c>
      <c r="B68" t="s">
        <v>25</v>
      </c>
      <c r="C68" s="3"/>
      <c r="D68" s="3"/>
    </row>
    <row r="70" spans="1:7" ht="12.75">
      <c r="A70" t="s">
        <v>0</v>
      </c>
      <c r="B70" t="s">
        <v>1</v>
      </c>
      <c r="C70" t="s">
        <v>2</v>
      </c>
      <c r="D70" t="s">
        <v>3</v>
      </c>
      <c r="E70" t="s">
        <v>4</v>
      </c>
      <c r="F70" t="s">
        <v>5</v>
      </c>
      <c r="G70" t="s">
        <v>6</v>
      </c>
    </row>
    <row r="71" spans="1:15" ht="12.75">
      <c r="A71">
        <v>85</v>
      </c>
      <c r="B71">
        <f aca="true" t="shared" si="10" ref="B71:B79">(A71-offset)/gain</f>
        <v>0.9929964465746631</v>
      </c>
      <c r="C71">
        <v>64014</v>
      </c>
      <c r="D71">
        <v>1935</v>
      </c>
      <c r="E71">
        <v>54</v>
      </c>
      <c r="F71">
        <v>1489</v>
      </c>
      <c r="G71">
        <f aca="true" t="shared" si="11" ref="G71:G79">corr1522*(F71+E71)/(D71-14*2)</f>
        <v>0.8142473392224876</v>
      </c>
      <c r="N71">
        <v>2</v>
      </c>
      <c r="O71">
        <f>0.0958*N71^3-0.61*N71^2+0.8681*N71+0.4568</f>
        <v>0.5194</v>
      </c>
    </row>
    <row r="72" spans="1:15" ht="12.75">
      <c r="A72" s="1">
        <v>100</v>
      </c>
      <c r="B72">
        <f t="shared" si="10"/>
        <v>1.1479423188166267</v>
      </c>
      <c r="C72">
        <v>56094</v>
      </c>
      <c r="D72">
        <v>1877</v>
      </c>
      <c r="E72">
        <v>52</v>
      </c>
      <c r="F72">
        <v>1396</v>
      </c>
      <c r="G72">
        <f t="shared" si="11"/>
        <v>0.7880844634097522</v>
      </c>
      <c r="N72">
        <f aca="true" t="shared" si="12" ref="N72:N79">N71+0.01</f>
        <v>2.01</v>
      </c>
      <c r="O72">
        <f aca="true" t="shared" si="13" ref="O72:O79">0.0958*N72^3-0.61*N72^2+0.8681*N72+0.4568</f>
        <v>0.5151735758000003</v>
      </c>
    </row>
    <row r="73" spans="1:15" ht="12.75">
      <c r="A73">
        <v>120</v>
      </c>
      <c r="B73">
        <f t="shared" si="10"/>
        <v>1.3545368151392445</v>
      </c>
      <c r="C73">
        <v>46733</v>
      </c>
      <c r="D73">
        <v>1880</v>
      </c>
      <c r="E73">
        <v>52</v>
      </c>
      <c r="F73">
        <v>1336</v>
      </c>
      <c r="G73">
        <f t="shared" si="11"/>
        <v>0.7542053327104747</v>
      </c>
      <c r="N73">
        <f t="shared" si="12"/>
        <v>2.0199999999999996</v>
      </c>
      <c r="O73">
        <f t="shared" si="13"/>
        <v>0.5109406864000002</v>
      </c>
    </row>
    <row r="74" spans="1:15" ht="12.75">
      <c r="A74">
        <v>150</v>
      </c>
      <c r="B74">
        <f t="shared" si="10"/>
        <v>1.6644285596231714</v>
      </c>
      <c r="C74">
        <v>35991</v>
      </c>
      <c r="D74">
        <v>1904</v>
      </c>
      <c r="E74">
        <v>40</v>
      </c>
      <c r="F74">
        <v>1183</v>
      </c>
      <c r="G74">
        <f t="shared" si="11"/>
        <v>0.6560466739613587</v>
      </c>
      <c r="N74">
        <f t="shared" si="12"/>
        <v>2.0299999999999994</v>
      </c>
      <c r="O74">
        <f t="shared" si="13"/>
        <v>0.5067019066000006</v>
      </c>
    </row>
    <row r="75" spans="1:15" ht="12.75">
      <c r="A75">
        <v>180</v>
      </c>
      <c r="B75">
        <f t="shared" si="10"/>
        <v>1.9743203041070985</v>
      </c>
      <c r="C75">
        <v>28610</v>
      </c>
      <c r="D75">
        <v>1933</v>
      </c>
      <c r="E75">
        <v>27</v>
      </c>
      <c r="F75">
        <v>966</v>
      </c>
      <c r="G75">
        <f t="shared" si="11"/>
        <v>0.5245602571144268</v>
      </c>
      <c r="N75">
        <f t="shared" si="12"/>
        <v>2.039999999999999</v>
      </c>
      <c r="O75">
        <f t="shared" si="13"/>
        <v>0.5024578112000005</v>
      </c>
    </row>
    <row r="76" spans="1:15" ht="12.75">
      <c r="A76">
        <v>210</v>
      </c>
      <c r="B76">
        <f t="shared" si="10"/>
        <v>2.284212048591025</v>
      </c>
      <c r="C76">
        <v>22240</v>
      </c>
      <c r="D76">
        <v>1958</v>
      </c>
      <c r="E76">
        <v>30</v>
      </c>
      <c r="F76">
        <v>753</v>
      </c>
      <c r="G76">
        <f t="shared" si="11"/>
        <v>0.40826821320003537</v>
      </c>
      <c r="N76" s="2">
        <f t="shared" si="12"/>
        <v>2.049999999999999</v>
      </c>
      <c r="O76" s="2">
        <f t="shared" si="13"/>
        <v>0.4982089750000006</v>
      </c>
    </row>
    <row r="77" spans="1:15" ht="12.75">
      <c r="A77">
        <v>240</v>
      </c>
      <c r="B77">
        <f t="shared" si="10"/>
        <v>2.5941037930749524</v>
      </c>
      <c r="C77">
        <v>17308</v>
      </c>
      <c r="D77">
        <v>1912</v>
      </c>
      <c r="E77">
        <v>16</v>
      </c>
      <c r="F77">
        <v>484</v>
      </c>
      <c r="G77">
        <f t="shared" si="11"/>
        <v>0.267073145191228</v>
      </c>
      <c r="N77">
        <f t="shared" si="12"/>
        <v>2.0599999999999987</v>
      </c>
      <c r="O77">
        <f t="shared" si="13"/>
        <v>0.4939559728000006</v>
      </c>
    </row>
    <row r="78" spans="1:15" ht="12.75">
      <c r="A78">
        <v>270</v>
      </c>
      <c r="B78">
        <f t="shared" si="10"/>
        <v>2.9039955375588793</v>
      </c>
      <c r="C78">
        <v>13734</v>
      </c>
      <c r="D78">
        <v>1928</v>
      </c>
      <c r="E78">
        <v>10</v>
      </c>
      <c r="F78">
        <v>339</v>
      </c>
      <c r="G78">
        <f t="shared" si="11"/>
        <v>0.18484722750900573</v>
      </c>
      <c r="N78">
        <f t="shared" si="12"/>
        <v>2.0699999999999985</v>
      </c>
      <c r="O78">
        <f t="shared" si="13"/>
        <v>0.4896993794000003</v>
      </c>
    </row>
    <row r="79" spans="1:15" ht="12.75">
      <c r="A79">
        <v>300</v>
      </c>
      <c r="B79">
        <f t="shared" si="10"/>
        <v>3.213887282042806</v>
      </c>
      <c r="C79">
        <v>10827</v>
      </c>
      <c r="D79">
        <v>1895</v>
      </c>
      <c r="E79">
        <v>9</v>
      </c>
      <c r="F79">
        <v>225</v>
      </c>
      <c r="G79">
        <f t="shared" si="11"/>
        <v>0.1261283326153444</v>
      </c>
      <c r="N79">
        <f t="shared" si="12"/>
        <v>2.0799999999999983</v>
      </c>
      <c r="O79">
        <f t="shared" si="13"/>
        <v>0.4854397696000011</v>
      </c>
    </row>
    <row r="84" spans="1:4" ht="12.75">
      <c r="A84" t="s">
        <v>26</v>
      </c>
      <c r="C84" s="3"/>
      <c r="D84" s="3"/>
    </row>
    <row r="86" spans="1:7" ht="12.75">
      <c r="A86" t="s">
        <v>0</v>
      </c>
      <c r="B86" t="s">
        <v>1</v>
      </c>
      <c r="C86" t="s">
        <v>2</v>
      </c>
      <c r="D86" t="s">
        <v>3</v>
      </c>
      <c r="E86" t="s">
        <v>4</v>
      </c>
      <c r="F86" t="s">
        <v>5</v>
      </c>
      <c r="G86" t="s">
        <v>6</v>
      </c>
    </row>
    <row r="87" spans="1:15" ht="12.75">
      <c r="A87">
        <v>85</v>
      </c>
      <c r="B87">
        <f aca="true" t="shared" si="14" ref="B87:B94">(A87-offset)/gain</f>
        <v>0.9929964465746631</v>
      </c>
      <c r="C87">
        <v>69094</v>
      </c>
      <c r="D87">
        <v>2012</v>
      </c>
      <c r="E87">
        <v>68</v>
      </c>
      <c r="F87">
        <v>1531</v>
      </c>
      <c r="G87">
        <f aca="true" t="shared" si="15" ref="G87:G94">corr1522*(F87+E87)/(D87-14*2)</f>
        <v>0.8110505272771141</v>
      </c>
      <c r="N87">
        <v>2.25</v>
      </c>
      <c r="O87">
        <f>0.0756*N87^3-0.5295*N87^2+0.8561*N87+0.4124</f>
        <v>0.5191625000000001</v>
      </c>
    </row>
    <row r="88" spans="1:15" ht="12.75">
      <c r="A88">
        <v>120</v>
      </c>
      <c r="B88">
        <f t="shared" si="14"/>
        <v>1.3545368151392445</v>
      </c>
      <c r="C88">
        <v>52129</v>
      </c>
      <c r="D88">
        <v>1886</v>
      </c>
      <c r="E88">
        <v>57</v>
      </c>
      <c r="F88">
        <v>1412</v>
      </c>
      <c r="G88">
        <f t="shared" si="15"/>
        <v>0.7956410854022193</v>
      </c>
      <c r="N88">
        <f aca="true" t="shared" si="16" ref="N88:N95">N87+0.01</f>
        <v>2.26</v>
      </c>
      <c r="O88">
        <f aca="true" t="shared" si="17" ref="O88:O95">0.0756*N88^3-0.5295*N88^2+0.8561*N88+0.4124</f>
        <v>0.5153759056000004</v>
      </c>
    </row>
    <row r="89" spans="1:15" ht="12.75">
      <c r="A89">
        <v>150</v>
      </c>
      <c r="B89">
        <f t="shared" si="14"/>
        <v>1.6644285596231714</v>
      </c>
      <c r="C89">
        <v>41773</v>
      </c>
      <c r="D89">
        <v>1985</v>
      </c>
      <c r="E89">
        <v>46</v>
      </c>
      <c r="F89">
        <v>1357</v>
      </c>
      <c r="G89">
        <f t="shared" si="15"/>
        <v>0.7214528616995438</v>
      </c>
      <c r="N89">
        <f t="shared" si="16"/>
        <v>2.2699999999999996</v>
      </c>
      <c r="O89">
        <f t="shared" si="17"/>
        <v>0.5115859248000002</v>
      </c>
    </row>
    <row r="90" spans="1:15" ht="12.75">
      <c r="A90">
        <v>180</v>
      </c>
      <c r="B90">
        <f t="shared" si="14"/>
        <v>1.9743203041070985</v>
      </c>
      <c r="C90">
        <v>34032</v>
      </c>
      <c r="D90">
        <v>1923</v>
      </c>
      <c r="E90">
        <v>31</v>
      </c>
      <c r="F90">
        <v>1118</v>
      </c>
      <c r="G90">
        <f t="shared" si="15"/>
        <v>0.6101715151089965</v>
      </c>
      <c r="N90">
        <f t="shared" si="16"/>
        <v>2.2799999999999994</v>
      </c>
      <c r="O90">
        <f t="shared" si="17"/>
        <v>0.5077930112000001</v>
      </c>
    </row>
    <row r="91" spans="1:15" ht="12.75">
      <c r="A91">
        <v>210</v>
      </c>
      <c r="B91">
        <f t="shared" si="14"/>
        <v>2.284212048591025</v>
      </c>
      <c r="C91">
        <v>27286</v>
      </c>
      <c r="D91">
        <v>1861</v>
      </c>
      <c r="E91">
        <v>30</v>
      </c>
      <c r="F91">
        <v>895</v>
      </c>
      <c r="G91">
        <f t="shared" si="15"/>
        <v>0.5078323732948751</v>
      </c>
      <c r="N91">
        <f t="shared" si="16"/>
        <v>2.289999999999999</v>
      </c>
      <c r="O91">
        <f t="shared" si="17"/>
        <v>0.5039976184000005</v>
      </c>
    </row>
    <row r="92" spans="1:15" ht="12.75">
      <c r="A92">
        <v>240</v>
      </c>
      <c r="B92">
        <f t="shared" si="14"/>
        <v>2.5941037930749524</v>
      </c>
      <c r="C92">
        <v>22138</v>
      </c>
      <c r="D92">
        <v>1825</v>
      </c>
      <c r="E92">
        <v>22</v>
      </c>
      <c r="F92">
        <v>672</v>
      </c>
      <c r="G92">
        <f t="shared" si="15"/>
        <v>0.3886444841902613</v>
      </c>
      <c r="N92" s="2">
        <f t="shared" si="16"/>
        <v>2.299999999999999</v>
      </c>
      <c r="O92" s="2">
        <f t="shared" si="17"/>
        <v>0.5002002000000004</v>
      </c>
    </row>
    <row r="93" spans="1:15" ht="12.75">
      <c r="A93">
        <v>270</v>
      </c>
      <c r="B93">
        <f t="shared" si="14"/>
        <v>2.9039955375588793</v>
      </c>
      <c r="C93">
        <v>18281</v>
      </c>
      <c r="D93">
        <v>1907</v>
      </c>
      <c r="E93">
        <v>14</v>
      </c>
      <c r="F93">
        <v>530</v>
      </c>
      <c r="G93">
        <f t="shared" si="15"/>
        <v>0.291348800653442</v>
      </c>
      <c r="N93">
        <f t="shared" si="16"/>
        <v>2.3099999999999987</v>
      </c>
      <c r="O93">
        <f t="shared" si="17"/>
        <v>0.49640120960000045</v>
      </c>
    </row>
    <row r="94" spans="1:15" ht="12.75">
      <c r="A94">
        <v>300</v>
      </c>
      <c r="B94">
        <f t="shared" si="14"/>
        <v>3.213887282042806</v>
      </c>
      <c r="C94">
        <v>14269</v>
      </c>
      <c r="D94">
        <v>1935</v>
      </c>
      <c r="E94">
        <v>13</v>
      </c>
      <c r="F94">
        <v>367</v>
      </c>
      <c r="G94">
        <f t="shared" si="15"/>
        <v>0.20052753655511688</v>
      </c>
      <c r="N94">
        <f t="shared" si="16"/>
        <v>2.3199999999999985</v>
      </c>
      <c r="O94">
        <f t="shared" si="17"/>
        <v>0.4926011008000003</v>
      </c>
    </row>
    <row r="95" spans="14:15" ht="12.75">
      <c r="N95">
        <f t="shared" si="16"/>
        <v>2.3299999999999983</v>
      </c>
      <c r="O95">
        <f t="shared" si="17"/>
        <v>0.4888003272000011</v>
      </c>
    </row>
    <row r="98" spans="1:4" ht="12.75">
      <c r="A98" t="s">
        <v>28</v>
      </c>
      <c r="C98" s="3"/>
      <c r="D98" s="3"/>
    </row>
    <row r="100" spans="1:7" ht="12.75">
      <c r="A100" t="s">
        <v>0</v>
      </c>
      <c r="B100" t="s">
        <v>1</v>
      </c>
      <c r="C100" t="s">
        <v>2</v>
      </c>
      <c r="D100" t="s">
        <v>3</v>
      </c>
      <c r="E100" t="s">
        <v>4</v>
      </c>
      <c r="F100" t="s">
        <v>5</v>
      </c>
      <c r="G100" t="s">
        <v>6</v>
      </c>
    </row>
    <row r="101" spans="1:15" ht="12.75">
      <c r="A101">
        <v>85</v>
      </c>
      <c r="B101">
        <f aca="true" t="shared" si="18" ref="B101:B108">(A101-offset)/gain</f>
        <v>0.9929964465746631</v>
      </c>
      <c r="C101">
        <v>71612</v>
      </c>
      <c r="D101">
        <v>1958</v>
      </c>
      <c r="E101">
        <v>55</v>
      </c>
      <c r="F101">
        <v>1439</v>
      </c>
      <c r="G101">
        <f aca="true" t="shared" si="19" ref="G101:G108">corr1522*(F101+E101)/(D101-14*2)</f>
        <v>0.7789945217379984</v>
      </c>
      <c r="N101">
        <v>2.4</v>
      </c>
      <c r="O101">
        <f>0.062*N101^3-0.4682*N101^2+0.836*N101+0.3471</f>
        <v>0.5137559999999997</v>
      </c>
    </row>
    <row r="102" spans="1:15" ht="12.75">
      <c r="A102">
        <v>150</v>
      </c>
      <c r="B102">
        <f t="shared" si="18"/>
        <v>1.6644285596231714</v>
      </c>
      <c r="C102">
        <v>44584</v>
      </c>
      <c r="D102">
        <v>1974</v>
      </c>
      <c r="E102">
        <v>42</v>
      </c>
      <c r="F102">
        <v>1373</v>
      </c>
      <c r="G102">
        <f t="shared" si="19"/>
        <v>0.7317365003489075</v>
      </c>
      <c r="N102">
        <f aca="true" t="shared" si="20" ref="N102:N108">N101+0.01</f>
        <v>2.4099999999999997</v>
      </c>
      <c r="O102">
        <f aca="true" t="shared" si="21" ref="O102:O108">0.062*N102^3-0.4682*N102^2+0.836*N102+0.3471</f>
        <v>0.5103538820000002</v>
      </c>
    </row>
    <row r="103" spans="1:15" ht="12.75">
      <c r="A103">
        <v>180</v>
      </c>
      <c r="B103">
        <f t="shared" si="18"/>
        <v>1.9743203041070985</v>
      </c>
      <c r="C103">
        <v>35958</v>
      </c>
      <c r="D103">
        <v>1892</v>
      </c>
      <c r="E103">
        <v>34</v>
      </c>
      <c r="F103">
        <v>1143</v>
      </c>
      <c r="G103">
        <f t="shared" si="19"/>
        <v>0.6354357866104097</v>
      </c>
      <c r="N103">
        <f t="shared" si="20"/>
        <v>2.4199999999999995</v>
      </c>
      <c r="O103">
        <f t="shared" si="21"/>
        <v>0.5069477760000003</v>
      </c>
    </row>
    <row r="104" spans="1:15" ht="12.75">
      <c r="A104">
        <v>210</v>
      </c>
      <c r="B104">
        <f t="shared" si="18"/>
        <v>2.284212048591025</v>
      </c>
      <c r="C104">
        <v>30406</v>
      </c>
      <c r="D104">
        <v>1854</v>
      </c>
      <c r="E104">
        <v>40</v>
      </c>
      <c r="F104">
        <v>975</v>
      </c>
      <c r="G104">
        <f t="shared" si="19"/>
        <v>0.5593792909346962</v>
      </c>
      <c r="N104">
        <f t="shared" si="20"/>
        <v>2.4299999999999993</v>
      </c>
      <c r="O104">
        <f t="shared" si="21"/>
        <v>0.5035380540000001</v>
      </c>
    </row>
    <row r="105" spans="1:15" ht="12.75">
      <c r="A105">
        <v>240</v>
      </c>
      <c r="B105">
        <f t="shared" si="18"/>
        <v>2.5941037930749524</v>
      </c>
      <c r="C105">
        <v>24962</v>
      </c>
      <c r="D105">
        <v>1914</v>
      </c>
      <c r="E105">
        <v>28</v>
      </c>
      <c r="F105">
        <v>830</v>
      </c>
      <c r="G105">
        <f t="shared" si="19"/>
        <v>0.4578115176601852</v>
      </c>
      <c r="N105" s="2">
        <f t="shared" si="20"/>
        <v>2.439999999999999</v>
      </c>
      <c r="O105" s="2">
        <f t="shared" si="21"/>
        <v>0.5001250880000001</v>
      </c>
    </row>
    <row r="106" spans="1:15" ht="12.75">
      <c r="A106">
        <v>270</v>
      </c>
      <c r="B106">
        <f t="shared" si="18"/>
        <v>2.9039955375588793</v>
      </c>
      <c r="C106">
        <v>19982</v>
      </c>
      <c r="D106">
        <v>1911</v>
      </c>
      <c r="E106">
        <v>19</v>
      </c>
      <c r="F106">
        <v>603</v>
      </c>
      <c r="G106">
        <f t="shared" si="19"/>
        <v>0.33241543393101447</v>
      </c>
      <c r="N106">
        <f t="shared" si="20"/>
        <v>2.449999999999999</v>
      </c>
      <c r="O106">
        <f t="shared" si="21"/>
        <v>0.4967092500000006</v>
      </c>
    </row>
    <row r="107" spans="1:15" ht="12.75">
      <c r="A107">
        <v>300</v>
      </c>
      <c r="B107">
        <f t="shared" si="18"/>
        <v>3.213887282042806</v>
      </c>
      <c r="C107">
        <v>16699</v>
      </c>
      <c r="D107">
        <v>1962</v>
      </c>
      <c r="E107">
        <v>13</v>
      </c>
      <c r="F107">
        <v>475</v>
      </c>
      <c r="G107">
        <f t="shared" si="19"/>
        <v>0.25392441892828693</v>
      </c>
      <c r="N107">
        <f t="shared" si="20"/>
        <v>2.4599999999999986</v>
      </c>
      <c r="O107">
        <f t="shared" si="21"/>
        <v>0.4932909120000007</v>
      </c>
    </row>
    <row r="108" spans="1:15" ht="12.75">
      <c r="A108">
        <v>330</v>
      </c>
      <c r="B108">
        <f t="shared" si="18"/>
        <v>3.523779026526733</v>
      </c>
      <c r="C108">
        <v>13828</v>
      </c>
      <c r="D108">
        <v>1967</v>
      </c>
      <c r="E108">
        <v>10</v>
      </c>
      <c r="F108">
        <v>359</v>
      </c>
      <c r="G108">
        <f t="shared" si="19"/>
        <v>0.19150921324843828</v>
      </c>
      <c r="N108">
        <f t="shared" si="20"/>
        <v>2.4699999999999984</v>
      </c>
      <c r="O108">
        <f t="shared" si="21"/>
        <v>0.4898704460000001</v>
      </c>
    </row>
    <row r="113" spans="1:4" ht="12.75">
      <c r="A113" t="s">
        <v>15</v>
      </c>
      <c r="C113" s="3"/>
      <c r="D113" s="3"/>
    </row>
    <row r="115" spans="1:15" ht="12.75">
      <c r="A115" t="s">
        <v>0</v>
      </c>
      <c r="B115" t="s">
        <v>1</v>
      </c>
      <c r="C115" t="s">
        <v>2</v>
      </c>
      <c r="D115" t="s">
        <v>3</v>
      </c>
      <c r="E115" t="s">
        <v>4</v>
      </c>
      <c r="F115" t="s">
        <v>5</v>
      </c>
      <c r="G115" t="s">
        <v>6</v>
      </c>
      <c r="N115">
        <v>2.5</v>
      </c>
      <c r="O115">
        <f>0.028*N115^3-0.2389*N115^2+0.3577*N115+0.6831</f>
        <v>0.521725</v>
      </c>
    </row>
    <row r="116" spans="1:15" ht="12.75">
      <c r="A116">
        <v>85</v>
      </c>
      <c r="B116">
        <f aca="true" t="shared" si="22" ref="B116:B123">(A116-offset)/gain</f>
        <v>0.9929964465746631</v>
      </c>
      <c r="C116">
        <v>72815</v>
      </c>
      <c r="D116">
        <v>1892</v>
      </c>
      <c r="E116">
        <v>63</v>
      </c>
      <c r="F116">
        <v>1472</v>
      </c>
      <c r="G116">
        <f aca="true" t="shared" si="23" ref="G116:G123">corr1522*(F116+E116)/(D116-14*2)</f>
        <v>0.8287119222149354</v>
      </c>
      <c r="N116">
        <f aca="true" t="shared" si="24" ref="N116:N123">N115+0.01</f>
        <v>2.51</v>
      </c>
      <c r="O116">
        <f aca="true" t="shared" si="25" ref="O116:O123">0.028*N116^3-0.2389*N116^2+0.3577*N116+0.6831</f>
        <v>0.5186041380000002</v>
      </c>
    </row>
    <row r="117" spans="1:15" ht="12.75">
      <c r="A117">
        <v>150</v>
      </c>
      <c r="B117">
        <f t="shared" si="22"/>
        <v>1.6644285596231714</v>
      </c>
      <c r="C117">
        <v>45339</v>
      </c>
      <c r="D117">
        <v>1889</v>
      </c>
      <c r="E117">
        <v>47</v>
      </c>
      <c r="F117">
        <v>1344</v>
      </c>
      <c r="G117">
        <f t="shared" si="23"/>
        <v>0.7521801563745517</v>
      </c>
      <c r="N117">
        <f t="shared" si="24"/>
        <v>2.5199999999999996</v>
      </c>
      <c r="O117">
        <f t="shared" si="25"/>
        <v>0.5154776640000003</v>
      </c>
    </row>
    <row r="118" spans="1:15" ht="12.75">
      <c r="A118">
        <v>180</v>
      </c>
      <c r="B118">
        <f t="shared" si="22"/>
        <v>1.9743203041070985</v>
      </c>
      <c r="C118">
        <v>38145</v>
      </c>
      <c r="D118">
        <v>1973</v>
      </c>
      <c r="E118">
        <v>41</v>
      </c>
      <c r="F118">
        <v>1271</v>
      </c>
      <c r="G118">
        <f t="shared" si="23"/>
        <v>0.678821117602919</v>
      </c>
      <c r="N118">
        <f t="shared" si="24"/>
        <v>2.5299999999999994</v>
      </c>
      <c r="O118">
        <f t="shared" si="25"/>
        <v>0.5123457460000003</v>
      </c>
    </row>
    <row r="119" spans="1:15" ht="12.75">
      <c r="A119">
        <v>210</v>
      </c>
      <c r="B119">
        <f t="shared" si="22"/>
        <v>2.284212048591025</v>
      </c>
      <c r="C119">
        <v>31579</v>
      </c>
      <c r="D119">
        <v>1853</v>
      </c>
      <c r="E119">
        <v>28</v>
      </c>
      <c r="F119">
        <v>979</v>
      </c>
      <c r="G119">
        <f t="shared" si="23"/>
        <v>0.5552744834838963</v>
      </c>
      <c r="N119">
        <f t="shared" si="24"/>
        <v>2.539999999999999</v>
      </c>
      <c r="O119">
        <f t="shared" si="25"/>
        <v>0.5092085520000005</v>
      </c>
    </row>
    <row r="120" spans="1:15" ht="12.75">
      <c r="A120">
        <v>240</v>
      </c>
      <c r="B120">
        <f t="shared" si="22"/>
        <v>2.5941037930749524</v>
      </c>
      <c r="C120">
        <v>26451</v>
      </c>
      <c r="D120">
        <v>2002</v>
      </c>
      <c r="E120">
        <v>26</v>
      </c>
      <c r="F120">
        <v>987</v>
      </c>
      <c r="G120">
        <f t="shared" si="23"/>
        <v>0.5164204265575452</v>
      </c>
      <c r="N120">
        <f t="shared" si="24"/>
        <v>2.549999999999999</v>
      </c>
      <c r="O120">
        <f t="shared" si="25"/>
        <v>0.5060662500000004</v>
      </c>
    </row>
    <row r="121" spans="1:15" ht="12.75">
      <c r="A121">
        <v>270</v>
      </c>
      <c r="B121">
        <f t="shared" si="22"/>
        <v>2.9039955375588793</v>
      </c>
      <c r="C121">
        <v>21924</v>
      </c>
      <c r="D121">
        <v>1961</v>
      </c>
      <c r="E121">
        <v>26</v>
      </c>
      <c r="F121">
        <v>735</v>
      </c>
      <c r="G121">
        <f t="shared" si="23"/>
        <v>0.39618124988737513</v>
      </c>
      <c r="N121">
        <f t="shared" si="24"/>
        <v>2.5599999999999987</v>
      </c>
      <c r="O121">
        <f t="shared" si="25"/>
        <v>0.5029190080000006</v>
      </c>
    </row>
    <row r="122" spans="1:15" ht="12.75">
      <c r="A122">
        <v>300</v>
      </c>
      <c r="B122">
        <f t="shared" si="22"/>
        <v>3.213887282042806</v>
      </c>
      <c r="C122">
        <v>17986</v>
      </c>
      <c r="D122">
        <v>1935</v>
      </c>
      <c r="E122">
        <v>17</v>
      </c>
      <c r="F122">
        <v>520</v>
      </c>
      <c r="G122">
        <f t="shared" si="23"/>
        <v>0.2833770713949941</v>
      </c>
      <c r="N122" s="2">
        <f t="shared" si="24"/>
        <v>2.5699999999999985</v>
      </c>
      <c r="O122" s="2">
        <f t="shared" si="25"/>
        <v>0.4997669940000006</v>
      </c>
    </row>
    <row r="123" spans="1:15" ht="12.75">
      <c r="A123">
        <v>330</v>
      </c>
      <c r="B123">
        <f t="shared" si="22"/>
        <v>3.523779026526733</v>
      </c>
      <c r="C123">
        <v>14549</v>
      </c>
      <c r="D123">
        <v>1947</v>
      </c>
      <c r="E123">
        <v>15</v>
      </c>
      <c r="F123">
        <v>374</v>
      </c>
      <c r="G123">
        <f t="shared" si="23"/>
        <v>0.20399322392409208</v>
      </c>
      <c r="N123">
        <f t="shared" si="24"/>
        <v>2.5799999999999983</v>
      </c>
      <c r="O123">
        <f t="shared" si="25"/>
        <v>0.4966103760000006</v>
      </c>
    </row>
    <row r="128" spans="1:4" ht="12.75">
      <c r="A128" t="s">
        <v>31</v>
      </c>
      <c r="B128" t="s">
        <v>30</v>
      </c>
      <c r="C128" s="3"/>
      <c r="D128" s="3"/>
    </row>
    <row r="130" spans="1:15" ht="12.75">
      <c r="A130" t="s">
        <v>0</v>
      </c>
      <c r="B130" t="s">
        <v>1</v>
      </c>
      <c r="C130" t="s">
        <v>2</v>
      </c>
      <c r="D130" t="s">
        <v>3</v>
      </c>
      <c r="E130" t="s">
        <v>4</v>
      </c>
      <c r="F130" t="s">
        <v>5</v>
      </c>
      <c r="G130" t="s">
        <v>6</v>
      </c>
      <c r="N130">
        <v>2.55</v>
      </c>
      <c r="O130">
        <f>0.2241*N130^2-1.4711*N130+2.8081</f>
        <v>0.5140052499999999</v>
      </c>
    </row>
    <row r="131" spans="1:15" ht="12.75">
      <c r="A131">
        <v>85</v>
      </c>
      <c r="B131">
        <f aca="true" t="shared" si="26" ref="B131:B138">(A131-offset)/gain</f>
        <v>0.9929964465746631</v>
      </c>
      <c r="C131">
        <v>73662</v>
      </c>
      <c r="D131">
        <v>1933</v>
      </c>
      <c r="E131">
        <v>62</v>
      </c>
      <c r="F131">
        <v>1484</v>
      </c>
      <c r="G131">
        <f aca="true" t="shared" si="27" ref="G131:G136">corr1522*(F131+E131)/(D131-14*2)</f>
        <v>0.8166869662627431</v>
      </c>
      <c r="N131">
        <f aca="true" t="shared" si="28" ref="N131:N138">N130+0.01</f>
        <v>2.5599999999999996</v>
      </c>
      <c r="O131">
        <f aca="true" t="shared" si="29" ref="O131:O138">0.2241*N131^2-1.4711*N131+2.8081</f>
        <v>0.5107457599999998</v>
      </c>
    </row>
    <row r="132" spans="1:15" ht="12.75">
      <c r="A132">
        <v>150</v>
      </c>
      <c r="B132">
        <f t="shared" si="26"/>
        <v>1.6644285596231714</v>
      </c>
      <c r="G132">
        <f t="shared" si="27"/>
        <v>0</v>
      </c>
      <c r="N132">
        <f t="shared" si="28"/>
        <v>2.5699999999999994</v>
      </c>
      <c r="O132">
        <f t="shared" si="29"/>
        <v>0.5075310900000001</v>
      </c>
    </row>
    <row r="133" spans="1:15" ht="12.75">
      <c r="A133">
        <v>180</v>
      </c>
      <c r="B133">
        <f t="shared" si="26"/>
        <v>1.9743203041070985</v>
      </c>
      <c r="G133">
        <f t="shared" si="27"/>
        <v>0</v>
      </c>
      <c r="N133">
        <f t="shared" si="28"/>
        <v>2.579999999999999</v>
      </c>
      <c r="O133">
        <f t="shared" si="29"/>
        <v>0.5043612400000002</v>
      </c>
    </row>
    <row r="134" spans="1:15" ht="12.75">
      <c r="A134">
        <v>210</v>
      </c>
      <c r="B134">
        <f t="shared" si="26"/>
        <v>2.284212048591025</v>
      </c>
      <c r="C134">
        <v>32866</v>
      </c>
      <c r="D134">
        <v>1978</v>
      </c>
      <c r="E134">
        <v>37</v>
      </c>
      <c r="F134">
        <v>1159</v>
      </c>
      <c r="G134">
        <f t="shared" si="27"/>
        <v>0.6172167214627354</v>
      </c>
      <c r="N134" s="2">
        <f t="shared" si="28"/>
        <v>2.589999999999999</v>
      </c>
      <c r="O134" s="2">
        <f t="shared" si="29"/>
        <v>0.5012362100000001</v>
      </c>
    </row>
    <row r="135" spans="1:15" ht="12.75">
      <c r="A135">
        <v>240</v>
      </c>
      <c r="B135">
        <f t="shared" si="26"/>
        <v>2.5941037930749524</v>
      </c>
      <c r="C135">
        <v>27060</v>
      </c>
      <c r="D135">
        <v>1871</v>
      </c>
      <c r="E135">
        <v>27</v>
      </c>
      <c r="F135">
        <v>889</v>
      </c>
      <c r="G135">
        <f t="shared" si="27"/>
        <v>0.5001626455506136</v>
      </c>
      <c r="N135">
        <f t="shared" si="28"/>
        <v>2.5999999999999988</v>
      </c>
      <c r="O135">
        <f t="shared" si="29"/>
        <v>0.49815600000000027</v>
      </c>
    </row>
    <row r="136" spans="1:15" ht="12.75">
      <c r="A136">
        <v>270</v>
      </c>
      <c r="B136">
        <f t="shared" si="26"/>
        <v>2.9039955375588793</v>
      </c>
      <c r="C136">
        <v>22816</v>
      </c>
      <c r="D136">
        <v>1962</v>
      </c>
      <c r="E136">
        <v>30</v>
      </c>
      <c r="F136">
        <v>789</v>
      </c>
      <c r="G136">
        <f t="shared" si="27"/>
        <v>0.426155940783334</v>
      </c>
      <c r="N136">
        <f t="shared" si="28"/>
        <v>2.6099999999999985</v>
      </c>
      <c r="O136">
        <f t="shared" si="29"/>
        <v>0.4951206100000003</v>
      </c>
    </row>
    <row r="137" spans="1:15" ht="12.75">
      <c r="A137">
        <v>300</v>
      </c>
      <c r="B137">
        <f t="shared" si="26"/>
        <v>3.213887282042806</v>
      </c>
      <c r="N137">
        <f t="shared" si="28"/>
        <v>2.6199999999999983</v>
      </c>
      <c r="O137">
        <f t="shared" si="29"/>
        <v>0.49213004000000016</v>
      </c>
    </row>
    <row r="138" spans="1:15" ht="12.75">
      <c r="A138">
        <v>330</v>
      </c>
      <c r="B138">
        <f t="shared" si="26"/>
        <v>3.523779026526733</v>
      </c>
      <c r="N138">
        <f t="shared" si="28"/>
        <v>2.629999999999998</v>
      </c>
      <c r="O138">
        <f t="shared" si="29"/>
        <v>0.4891842900000003</v>
      </c>
    </row>
    <row r="143" spans="1:4" ht="12.75">
      <c r="A143" t="s">
        <v>32</v>
      </c>
      <c r="C143" s="3"/>
      <c r="D143" s="3"/>
    </row>
    <row r="145" spans="1:7" ht="12.75">
      <c r="A145" t="s">
        <v>0</v>
      </c>
      <c r="B145" t="s">
        <v>1</v>
      </c>
      <c r="C145" t="s">
        <v>2</v>
      </c>
      <c r="D145" t="s">
        <v>3</v>
      </c>
      <c r="E145" t="s">
        <v>4</v>
      </c>
      <c r="F145" t="s">
        <v>5</v>
      </c>
      <c r="G145" t="s">
        <v>6</v>
      </c>
    </row>
    <row r="146" spans="1:15" ht="12.75">
      <c r="A146">
        <v>85</v>
      </c>
      <c r="B146">
        <f aca="true" t="shared" si="30" ref="B146:B153">(A146-offset)/gain</f>
        <v>0.9929964465746631</v>
      </c>
      <c r="C146">
        <v>74243</v>
      </c>
      <c r="D146">
        <v>1987</v>
      </c>
      <c r="E146">
        <v>51</v>
      </c>
      <c r="F146">
        <v>1525</v>
      </c>
      <c r="G146">
        <f>corr1522*(F146+E146)/(D146-14*2)</f>
        <v>0.8095858188172241</v>
      </c>
      <c r="N146">
        <v>2.7</v>
      </c>
      <c r="O146">
        <f>-0.2234*N146+1.1151</f>
        <v>0.5119199999999999</v>
      </c>
    </row>
    <row r="147" spans="1:15" ht="12.75">
      <c r="A147">
        <v>150</v>
      </c>
      <c r="B147">
        <f t="shared" si="30"/>
        <v>1.6644285596231714</v>
      </c>
      <c r="G147">
        <f>corr1522*(F147+E147)/(D147-14*2)</f>
        <v>0</v>
      </c>
      <c r="N147">
        <f aca="true" t="shared" si="31" ref="N147:N154">N146+0.01</f>
        <v>2.71</v>
      </c>
      <c r="O147">
        <f aca="true" t="shared" si="32" ref="O147:O154">-0.2234*N147+1.1151</f>
        <v>0.509686</v>
      </c>
    </row>
    <row r="148" spans="1:15" ht="12.75">
      <c r="A148">
        <v>180</v>
      </c>
      <c r="B148">
        <f t="shared" si="30"/>
        <v>1.9743203041070985</v>
      </c>
      <c r="G148">
        <f>corr1522*(F148+E148)/(D148-14*2)</f>
        <v>0</v>
      </c>
      <c r="N148">
        <f t="shared" si="31"/>
        <v>2.7199999999999998</v>
      </c>
      <c r="O148">
        <f t="shared" si="32"/>
        <v>0.5074520000000001</v>
      </c>
    </row>
    <row r="149" spans="1:15" ht="12.75">
      <c r="A149">
        <v>210</v>
      </c>
      <c r="B149">
        <f t="shared" si="30"/>
        <v>2.284212048591025</v>
      </c>
      <c r="C149">
        <v>33292</v>
      </c>
      <c r="D149">
        <v>1996</v>
      </c>
      <c r="E149">
        <v>38</v>
      </c>
      <c r="F149">
        <v>1145</v>
      </c>
      <c r="G149">
        <f>corr1522*(F149+E149)/(D149-14*2)</f>
        <v>0.6049239308477068</v>
      </c>
      <c r="N149">
        <f t="shared" si="31"/>
        <v>2.7299999999999995</v>
      </c>
      <c r="O149">
        <f t="shared" si="32"/>
        <v>0.5052180000000002</v>
      </c>
    </row>
    <row r="150" spans="1:15" ht="12.75">
      <c r="A150">
        <v>240</v>
      </c>
      <c r="B150">
        <f t="shared" si="30"/>
        <v>2.5941037930749524</v>
      </c>
      <c r="C150">
        <v>35465</v>
      </c>
      <c r="D150">
        <v>1899</v>
      </c>
      <c r="E150">
        <v>35</v>
      </c>
      <c r="F150">
        <v>961</v>
      </c>
      <c r="G150">
        <f>corr1522*(F150+E150)/(D150-14*2)</f>
        <v>0.5357061916815739</v>
      </c>
      <c r="N150">
        <f t="shared" si="31"/>
        <v>2.7399999999999993</v>
      </c>
      <c r="O150">
        <f t="shared" si="32"/>
        <v>0.5029840000000002</v>
      </c>
    </row>
    <row r="151" spans="1:15" ht="12.75">
      <c r="A151">
        <v>270</v>
      </c>
      <c r="B151">
        <f t="shared" si="30"/>
        <v>2.9039955375588793</v>
      </c>
      <c r="N151" s="2">
        <f t="shared" si="31"/>
        <v>2.749999999999999</v>
      </c>
      <c r="O151" s="2">
        <f t="shared" si="32"/>
        <v>0.5007500000000003</v>
      </c>
    </row>
    <row r="152" spans="1:15" ht="12.75">
      <c r="A152">
        <v>300</v>
      </c>
      <c r="B152">
        <f t="shared" si="30"/>
        <v>3.213887282042806</v>
      </c>
      <c r="N152">
        <f t="shared" si="31"/>
        <v>2.759999999999999</v>
      </c>
      <c r="O152">
        <f t="shared" si="32"/>
        <v>0.4985160000000003</v>
      </c>
    </row>
    <row r="153" spans="1:15" ht="12.75">
      <c r="A153">
        <v>330</v>
      </c>
      <c r="B153">
        <f t="shared" si="30"/>
        <v>3.523779026526733</v>
      </c>
      <c r="N153">
        <f t="shared" si="31"/>
        <v>2.7699999999999987</v>
      </c>
      <c r="O153">
        <f t="shared" si="32"/>
        <v>0.49628200000000033</v>
      </c>
    </row>
    <row r="154" spans="14:15" ht="12.75">
      <c r="N154">
        <f t="shared" si="31"/>
        <v>2.7799999999999985</v>
      </c>
      <c r="O154">
        <f t="shared" si="32"/>
        <v>0.4940480000000004</v>
      </c>
    </row>
    <row r="157" spans="1:4" ht="12.75">
      <c r="A157" t="s">
        <v>33</v>
      </c>
      <c r="C157" s="3"/>
      <c r="D157" s="3"/>
    </row>
    <row r="159" spans="1:7" ht="12.75">
      <c r="A159" t="s">
        <v>0</v>
      </c>
      <c r="B159" t="s">
        <v>1</v>
      </c>
      <c r="C159" t="s">
        <v>2</v>
      </c>
      <c r="D159" t="s">
        <v>3</v>
      </c>
      <c r="E159" t="s">
        <v>4</v>
      </c>
      <c r="F159" t="s">
        <v>5</v>
      </c>
      <c r="G159" t="s">
        <v>6</v>
      </c>
    </row>
    <row r="160" spans="1:7" ht="12.75">
      <c r="A160">
        <v>85</v>
      </c>
      <c r="B160">
        <f aca="true" t="shared" si="33" ref="B160:B167">(A160-offset)/gain</f>
        <v>0.9929964465746631</v>
      </c>
      <c r="C160">
        <v>81590</v>
      </c>
      <c r="D160">
        <v>1939</v>
      </c>
      <c r="E160">
        <v>59</v>
      </c>
      <c r="F160">
        <v>1503</v>
      </c>
      <c r="G160">
        <f aca="true" t="shared" si="34" ref="G160:G165">corr1522*(F160+E160)/(D160-14*2)</f>
        <v>0.8225483916838379</v>
      </c>
    </row>
    <row r="161" spans="1:15" ht="12.75">
      <c r="A161">
        <v>150</v>
      </c>
      <c r="B161">
        <f t="shared" si="33"/>
        <v>1.6644285596231714</v>
      </c>
      <c r="G161">
        <f t="shared" si="34"/>
        <v>0</v>
      </c>
      <c r="N161">
        <v>2.7</v>
      </c>
      <c r="O161">
        <f>-0.2724*N161^2+1.1409*N161-0.575</f>
        <v>0.5196340000000002</v>
      </c>
    </row>
    <row r="162" spans="1:15" ht="12.75">
      <c r="A162">
        <v>180</v>
      </c>
      <c r="B162">
        <f t="shared" si="33"/>
        <v>1.9743203041070985</v>
      </c>
      <c r="G162">
        <f t="shared" si="34"/>
        <v>0</v>
      </c>
      <c r="N162">
        <f aca="true" t="shared" si="35" ref="N162:N168">N161+0.01</f>
        <v>2.71</v>
      </c>
      <c r="O162">
        <f aca="true" t="shared" si="36" ref="O162:O168">-0.2724*N162^2+1.1409*N162-0.575</f>
        <v>0.5163061600000003</v>
      </c>
    </row>
    <row r="163" spans="1:15" ht="12.75">
      <c r="A163">
        <v>210</v>
      </c>
      <c r="B163">
        <f t="shared" si="33"/>
        <v>2.284212048591025</v>
      </c>
      <c r="C163">
        <v>38249</v>
      </c>
      <c r="D163">
        <v>1954</v>
      </c>
      <c r="E163">
        <v>35</v>
      </c>
      <c r="F163">
        <v>1132</v>
      </c>
      <c r="G163">
        <f t="shared" si="34"/>
        <v>0.6097554465893034</v>
      </c>
      <c r="N163">
        <f t="shared" si="35"/>
        <v>2.7199999999999998</v>
      </c>
      <c r="O163">
        <f t="shared" si="36"/>
        <v>0.5129238400000002</v>
      </c>
    </row>
    <row r="164" spans="1:15" ht="12.75">
      <c r="A164">
        <v>240</v>
      </c>
      <c r="B164">
        <f t="shared" si="33"/>
        <v>2.5941037930749524</v>
      </c>
      <c r="C164">
        <v>29240</v>
      </c>
      <c r="D164">
        <v>1944</v>
      </c>
      <c r="E164">
        <v>32</v>
      </c>
      <c r="F164">
        <v>1018</v>
      </c>
      <c r="G164">
        <f t="shared" si="34"/>
        <v>0.5514865300806755</v>
      </c>
      <c r="N164">
        <f t="shared" si="35"/>
        <v>2.7299999999999995</v>
      </c>
      <c r="O164">
        <f t="shared" si="36"/>
        <v>0.50948704</v>
      </c>
    </row>
    <row r="165" spans="1:15" ht="12.75">
      <c r="A165">
        <v>270</v>
      </c>
      <c r="B165">
        <f t="shared" si="33"/>
        <v>2.9039955375588793</v>
      </c>
      <c r="C165">
        <v>24415</v>
      </c>
      <c r="D165">
        <v>1943</v>
      </c>
      <c r="E165">
        <v>26</v>
      </c>
      <c r="F165">
        <v>813</v>
      </c>
      <c r="G165">
        <f t="shared" si="34"/>
        <v>0.44089411054651634</v>
      </c>
      <c r="N165">
        <f t="shared" si="35"/>
        <v>2.7399999999999993</v>
      </c>
      <c r="O165">
        <f t="shared" si="36"/>
        <v>0.5059957600000005</v>
      </c>
    </row>
    <row r="166" spans="1:15" ht="12.75">
      <c r="A166">
        <v>300</v>
      </c>
      <c r="B166">
        <f t="shared" si="33"/>
        <v>3.213887282042806</v>
      </c>
      <c r="N166">
        <f t="shared" si="35"/>
        <v>2.749999999999999</v>
      </c>
      <c r="O166">
        <f t="shared" si="36"/>
        <v>0.5024500000000007</v>
      </c>
    </row>
    <row r="167" spans="1:15" ht="12.75">
      <c r="A167">
        <v>330</v>
      </c>
      <c r="B167">
        <f t="shared" si="33"/>
        <v>3.523779026526733</v>
      </c>
      <c r="N167" s="2">
        <f t="shared" si="35"/>
        <v>2.759999999999999</v>
      </c>
      <c r="O167" s="2">
        <f t="shared" si="36"/>
        <v>0.4988497600000008</v>
      </c>
    </row>
    <row r="168" spans="14:15" ht="12.75">
      <c r="N168">
        <f t="shared" si="35"/>
        <v>2.7699999999999987</v>
      </c>
      <c r="O168">
        <f t="shared" si="36"/>
        <v>0.4951950400000007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9"/>
  <sheetViews>
    <sheetView workbookViewId="0" topLeftCell="A1">
      <selection activeCell="G20" sqref="G20"/>
    </sheetView>
  </sheetViews>
  <sheetFormatPr defaultColWidth="9.140625" defaultRowHeight="12.75"/>
  <cols>
    <col min="1" max="1" width="10.28125" style="0" customWidth="1"/>
  </cols>
  <sheetData>
    <row r="1" spans="1:15" ht="12.75">
      <c r="A1" t="s">
        <v>37</v>
      </c>
      <c r="F1" s="10"/>
      <c r="G1" s="10"/>
      <c r="L1" t="s">
        <v>34</v>
      </c>
      <c r="M1" t="s">
        <v>35</v>
      </c>
      <c r="N1" t="s">
        <v>18</v>
      </c>
      <c r="O1" t="s">
        <v>50</v>
      </c>
    </row>
    <row r="2" spans="7:15" ht="12.75">
      <c r="G2" t="s">
        <v>47</v>
      </c>
      <c r="L2">
        <v>20</v>
      </c>
      <c r="M2">
        <f>G10</f>
        <v>0.3292573090909091</v>
      </c>
      <c r="O2">
        <v>5.4</v>
      </c>
    </row>
    <row r="3" spans="7:15" ht="12.75">
      <c r="G3">
        <v>1.006064</v>
      </c>
      <c r="L3">
        <v>30</v>
      </c>
      <c r="M3">
        <f>G20</f>
        <v>0.5819082533748702</v>
      </c>
      <c r="N3">
        <f>N22</f>
        <v>1.08</v>
      </c>
      <c r="O3">
        <v>6.7</v>
      </c>
    </row>
    <row r="4" spans="12:15" ht="12.75">
      <c r="L4">
        <v>40</v>
      </c>
      <c r="M4">
        <f>G31</f>
        <v>0.7079907829787234</v>
      </c>
      <c r="N4">
        <f>N32</f>
        <v>1.31</v>
      </c>
      <c r="O4">
        <v>7.5</v>
      </c>
    </row>
    <row r="5" spans="12:15" ht="12.75">
      <c r="L5">
        <v>50</v>
      </c>
      <c r="M5">
        <f>G43</f>
        <v>0.7745705387131953</v>
      </c>
      <c r="N5">
        <f>N45</f>
        <v>1.68</v>
      </c>
      <c r="O5">
        <v>8.3</v>
      </c>
    </row>
    <row r="6" spans="12:15" ht="12.75">
      <c r="L6">
        <v>80</v>
      </c>
      <c r="M6">
        <f>G56</f>
        <v>0.7897467538873995</v>
      </c>
      <c r="N6">
        <f>N57</f>
        <v>1.91</v>
      </c>
      <c r="O6">
        <v>8.8</v>
      </c>
    </row>
    <row r="7" spans="1:15" ht="12.75">
      <c r="A7" t="s">
        <v>7</v>
      </c>
      <c r="L7">
        <v>100</v>
      </c>
      <c r="M7">
        <f>G71</f>
        <v>0.791799558918919</v>
      </c>
      <c r="N7">
        <f>N74</f>
        <v>2.079999999999999</v>
      </c>
      <c r="O7">
        <v>9</v>
      </c>
    </row>
    <row r="8" spans="12:15" ht="12.75">
      <c r="L8">
        <v>150</v>
      </c>
      <c r="M8">
        <f>G87</f>
        <v>0.7961968860215054</v>
      </c>
      <c r="N8">
        <f>N90</f>
        <v>2.289999999999999</v>
      </c>
      <c r="O8">
        <v>9.6</v>
      </c>
    </row>
    <row r="9" spans="1:15" ht="12.75">
      <c r="A9" t="s">
        <v>0</v>
      </c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L9">
        <v>200</v>
      </c>
      <c r="M9">
        <f>G101</f>
        <v>0.8104874128851541</v>
      </c>
      <c r="N9">
        <f>N103</f>
        <v>2.4099999999999997</v>
      </c>
      <c r="O9">
        <v>10</v>
      </c>
    </row>
    <row r="10" spans="1:15" ht="12.75">
      <c r="A10" s="10">
        <v>85</v>
      </c>
      <c r="B10">
        <f>(A10-offset)/gain</f>
        <v>0.9929964465746631</v>
      </c>
      <c r="C10">
        <v>16577</v>
      </c>
      <c r="D10">
        <v>1953</v>
      </c>
      <c r="E10">
        <v>28</v>
      </c>
      <c r="F10">
        <v>602</v>
      </c>
      <c r="G10">
        <f>corr40*(F10+E10)/(D10-14*2)</f>
        <v>0.3292573090909091</v>
      </c>
      <c r="L10">
        <v>250</v>
      </c>
      <c r="M10">
        <f>G118</f>
        <v>0.8085611973969631</v>
      </c>
      <c r="N10">
        <f>N121</f>
        <v>2.5299999999999994</v>
      </c>
      <c r="O10" s="4">
        <v>10.4</v>
      </c>
    </row>
    <row r="11" spans="1:15" ht="12.75">
      <c r="A11">
        <v>100</v>
      </c>
      <c r="B11">
        <f>(A11-offset)/gain</f>
        <v>1.1479423188166267</v>
      </c>
      <c r="C11">
        <v>12986</v>
      </c>
      <c r="D11">
        <v>1886</v>
      </c>
      <c r="E11">
        <v>16</v>
      </c>
      <c r="F11">
        <v>410</v>
      </c>
      <c r="G11">
        <f>corr40*(F11+E11)/(D11-14*2)</f>
        <v>0.23066914101184072</v>
      </c>
      <c r="L11">
        <v>300</v>
      </c>
      <c r="M11">
        <f>G133</f>
        <v>0.808511571963617</v>
      </c>
      <c r="N11">
        <f>N136</f>
        <v>2.6099999999999994</v>
      </c>
      <c r="O11" s="4">
        <v>11</v>
      </c>
    </row>
    <row r="12" spans="1:15" ht="12.75">
      <c r="A12">
        <v>120</v>
      </c>
      <c r="B12">
        <f>(A12-offset)/gain</f>
        <v>1.3545368151392445</v>
      </c>
      <c r="C12">
        <v>9362</v>
      </c>
      <c r="D12">
        <v>1949</v>
      </c>
      <c r="E12">
        <v>9</v>
      </c>
      <c r="F12">
        <v>208</v>
      </c>
      <c r="G12">
        <f>corr40*(F12+E12)/(D12-14*2)</f>
        <v>0.1136470005205622</v>
      </c>
      <c r="L12">
        <v>350</v>
      </c>
      <c r="M12">
        <f>G148</f>
        <v>0.8144848922742111</v>
      </c>
      <c r="N12">
        <f>N155</f>
        <v>2.6699999999999986</v>
      </c>
      <c r="O12" s="4">
        <v>11.4</v>
      </c>
    </row>
    <row r="13" spans="12:15" ht="12.75">
      <c r="L13">
        <v>400</v>
      </c>
      <c r="M13">
        <f>G162</f>
        <v>0.8215197159763313</v>
      </c>
      <c r="N13">
        <f>N165</f>
        <v>2.7299999999999995</v>
      </c>
      <c r="O13" s="4">
        <v>11.7</v>
      </c>
    </row>
    <row r="17" ht="12.75">
      <c r="A17" t="s">
        <v>8</v>
      </c>
    </row>
    <row r="19" spans="1:15" ht="12.75">
      <c r="A19" t="s">
        <v>0</v>
      </c>
      <c r="B19" t="s">
        <v>1</v>
      </c>
      <c r="C19" t="s">
        <v>2</v>
      </c>
      <c r="D19" t="s">
        <v>3</v>
      </c>
      <c r="E19" t="s">
        <v>4</v>
      </c>
      <c r="F19" t="s">
        <v>5</v>
      </c>
      <c r="G19" t="s">
        <v>6</v>
      </c>
      <c r="N19">
        <v>1.05</v>
      </c>
      <c r="O19">
        <f aca="true" t="shared" si="0" ref="O19:O24">0.8193*N19^3-2.6354*N19^2+1.9049*N19+0.4868</f>
        <v>0.5298586625</v>
      </c>
    </row>
    <row r="20" spans="1:15" ht="12.75">
      <c r="A20" s="10">
        <v>85</v>
      </c>
      <c r="B20">
        <f>(A20-offset)/gain</f>
        <v>0.9929964465746631</v>
      </c>
      <c r="C20">
        <v>26952</v>
      </c>
      <c r="D20">
        <v>1954</v>
      </c>
      <c r="E20">
        <v>61</v>
      </c>
      <c r="F20">
        <v>1053</v>
      </c>
      <c r="G20">
        <f>corr40*(F20+E20)/(D20-14*2)</f>
        <v>0.5819082533748702</v>
      </c>
      <c r="N20">
        <f>N19+0.01</f>
        <v>1.06</v>
      </c>
      <c r="O20">
        <f t="shared" si="0"/>
        <v>0.5206579688</v>
      </c>
    </row>
    <row r="21" spans="1:15" ht="12.75">
      <c r="A21" s="10">
        <v>100</v>
      </c>
      <c r="B21">
        <f>(A21-offset)/gain</f>
        <v>1.1479423188166267</v>
      </c>
      <c r="C21">
        <v>21613</v>
      </c>
      <c r="D21">
        <v>1887</v>
      </c>
      <c r="E21">
        <v>30</v>
      </c>
      <c r="F21">
        <v>783</v>
      </c>
      <c r="G21">
        <f>corr40*(F21+E21)/(D21-14*2)</f>
        <v>0.4399838795051103</v>
      </c>
      <c r="N21">
        <f>N20+0.01</f>
        <v>1.07</v>
      </c>
      <c r="O21">
        <f t="shared" si="0"/>
        <v>0.5114512699000001</v>
      </c>
    </row>
    <row r="22" spans="1:15" ht="12.75">
      <c r="A22">
        <v>120</v>
      </c>
      <c r="B22">
        <f>(A22-offset)/gain</f>
        <v>1.3545368151392445</v>
      </c>
      <c r="C22">
        <v>15792</v>
      </c>
      <c r="D22">
        <v>2004</v>
      </c>
      <c r="E22">
        <v>22</v>
      </c>
      <c r="F22">
        <v>504</v>
      </c>
      <c r="G22">
        <f>corr40*(F22+E22)/(D22-14*2)</f>
        <v>0.26780853441295543</v>
      </c>
      <c r="N22" s="2">
        <f>N21+0.01</f>
        <v>1.08</v>
      </c>
      <c r="O22" s="2">
        <f t="shared" si="0"/>
        <v>0.5022434816000002</v>
      </c>
    </row>
    <row r="23" spans="1:15" ht="12.75">
      <c r="A23">
        <v>150</v>
      </c>
      <c r="B23">
        <f>(A23-offset)/gain</f>
        <v>1.6644285596231714</v>
      </c>
      <c r="C23">
        <v>10302</v>
      </c>
      <c r="D23">
        <v>1828</v>
      </c>
      <c r="E23">
        <v>6</v>
      </c>
      <c r="F23">
        <v>234</v>
      </c>
      <c r="G23">
        <f>corr40*(F23+E23)/(D23-14*2)</f>
        <v>0.13414186666666666</v>
      </c>
      <c r="N23">
        <f>N22+0.01</f>
        <v>1.09</v>
      </c>
      <c r="O23">
        <f t="shared" si="0"/>
        <v>0.4930395196999998</v>
      </c>
    </row>
    <row r="24" spans="14:15" ht="12.75">
      <c r="N24">
        <f>N23+0.01</f>
        <v>1.1</v>
      </c>
      <c r="O24">
        <f t="shared" si="0"/>
        <v>0.4838442999999998</v>
      </c>
    </row>
    <row r="28" ht="12.75">
      <c r="A28" t="s">
        <v>9</v>
      </c>
    </row>
    <row r="30" spans="1:7" ht="12.75">
      <c r="A30" t="s">
        <v>0</v>
      </c>
      <c r="B30" t="s">
        <v>1</v>
      </c>
      <c r="C30" t="s">
        <v>2</v>
      </c>
      <c r="D30" t="s">
        <v>3</v>
      </c>
      <c r="E30" t="s">
        <v>4</v>
      </c>
      <c r="F30" t="s">
        <v>5</v>
      </c>
      <c r="G30" t="s">
        <v>6</v>
      </c>
    </row>
    <row r="31" spans="1:15" ht="12.75">
      <c r="A31">
        <v>85</v>
      </c>
      <c r="B31">
        <f>(A31-offset)/gain</f>
        <v>0.9929964465746631</v>
      </c>
      <c r="C31">
        <v>35460</v>
      </c>
      <c r="D31">
        <v>1908</v>
      </c>
      <c r="E31">
        <v>54</v>
      </c>
      <c r="F31">
        <v>1269</v>
      </c>
      <c r="G31">
        <f>corr40*(F31+E31)/(D31-14*2)</f>
        <v>0.7079907829787234</v>
      </c>
      <c r="N31">
        <v>1.3</v>
      </c>
      <c r="O31">
        <f>0.4879*N31^3-1.9626*N31^2+1.9076*N31+0.2743</f>
        <v>0.5093023000000001</v>
      </c>
    </row>
    <row r="32" spans="1:15" ht="12.75">
      <c r="A32" s="1">
        <v>100</v>
      </c>
      <c r="B32">
        <f>(A32-offset)/gain</f>
        <v>1.1479423188166267</v>
      </c>
      <c r="C32">
        <v>29787</v>
      </c>
      <c r="D32">
        <v>1938</v>
      </c>
      <c r="E32">
        <v>53</v>
      </c>
      <c r="F32">
        <v>1133</v>
      </c>
      <c r="G32">
        <f>corr40*(F32+E32)/(D32-14*2)</f>
        <v>0.6247078031413613</v>
      </c>
      <c r="N32" s="2">
        <f aca="true" t="shared" si="1" ref="N32:N37">N31+0.01</f>
        <v>1.31</v>
      </c>
      <c r="O32" s="2">
        <f aca="true" t="shared" si="2" ref="O32:O37">0.4879*N32^3-1.9626*N32^2+1.9076*N32+0.2743</f>
        <v>0.5020817389000005</v>
      </c>
    </row>
    <row r="33" spans="1:15" ht="12.75">
      <c r="A33">
        <v>120</v>
      </c>
      <c r="B33">
        <f>(A33-offset)/gain</f>
        <v>1.3545368151392445</v>
      </c>
      <c r="C33" s="1">
        <v>23521</v>
      </c>
      <c r="D33" s="1">
        <v>1884</v>
      </c>
      <c r="E33" s="1">
        <v>29</v>
      </c>
      <c r="F33" s="1">
        <v>823</v>
      </c>
      <c r="G33">
        <f>corr40*(F33+E33)/(D33-14*2)</f>
        <v>0.4618354137931035</v>
      </c>
      <c r="N33">
        <f t="shared" si="1"/>
        <v>1.32</v>
      </c>
      <c r="O33">
        <f t="shared" si="2"/>
        <v>0.49485214720000026</v>
      </c>
    </row>
    <row r="34" spans="1:15" ht="12.75">
      <c r="A34">
        <v>150</v>
      </c>
      <c r="B34">
        <f>(A34-offset)/gain</f>
        <v>1.6644285596231714</v>
      </c>
      <c r="C34" s="1">
        <v>16080</v>
      </c>
      <c r="D34" s="1">
        <v>1920</v>
      </c>
      <c r="E34" s="1">
        <v>15</v>
      </c>
      <c r="F34" s="1">
        <v>485</v>
      </c>
      <c r="G34">
        <f>corr40*(F34+E34)/(D34-14*2)</f>
        <v>0.2658731501057083</v>
      </c>
      <c r="N34">
        <f t="shared" si="1"/>
        <v>1.33</v>
      </c>
      <c r="O34">
        <f t="shared" si="2"/>
        <v>0.48761645229999995</v>
      </c>
    </row>
    <row r="35" spans="1:15" ht="12.75">
      <c r="A35">
        <v>180</v>
      </c>
      <c r="B35">
        <f>(A35-offset)/gain</f>
        <v>1.9743203041070985</v>
      </c>
      <c r="C35" s="1">
        <v>11546</v>
      </c>
      <c r="D35" s="1">
        <v>1820</v>
      </c>
      <c r="E35" s="1">
        <v>10</v>
      </c>
      <c r="F35" s="1">
        <v>248</v>
      </c>
      <c r="G35">
        <f>corr40*(F35+E35)/(D35-14*2)</f>
        <v>0.14484626785714289</v>
      </c>
      <c r="N35">
        <f t="shared" si="1"/>
        <v>1.34</v>
      </c>
      <c r="O35">
        <f t="shared" si="2"/>
        <v>0.48037758159999977</v>
      </c>
    </row>
    <row r="36" spans="14:15" ht="12.75">
      <c r="N36">
        <f t="shared" si="1"/>
        <v>1.35</v>
      </c>
      <c r="O36">
        <f t="shared" si="2"/>
        <v>0.4731384624999999</v>
      </c>
    </row>
    <row r="37" spans="14:15" ht="12.75">
      <c r="N37">
        <f t="shared" si="1"/>
        <v>1.36</v>
      </c>
      <c r="O37">
        <f t="shared" si="2"/>
        <v>0.4659020224000001</v>
      </c>
    </row>
    <row r="40" ht="12.75">
      <c r="A40" t="s">
        <v>10</v>
      </c>
    </row>
    <row r="42" spans="1:7" ht="12.75">
      <c r="A42" t="s">
        <v>0</v>
      </c>
      <c r="B42" t="s">
        <v>1</v>
      </c>
      <c r="C42" t="s">
        <v>2</v>
      </c>
      <c r="D42" t="s">
        <v>3</v>
      </c>
      <c r="E42" t="s">
        <v>4</v>
      </c>
      <c r="F42" t="s">
        <v>5</v>
      </c>
      <c r="G42" t="s">
        <v>6</v>
      </c>
    </row>
    <row r="43" spans="1:15" ht="12.75">
      <c r="A43">
        <v>85</v>
      </c>
      <c r="B43">
        <f aca="true" t="shared" si="3" ref="B43:B49">(A43-offset)/gain</f>
        <v>0.9929964465746631</v>
      </c>
      <c r="C43">
        <v>50914</v>
      </c>
      <c r="D43">
        <v>1862</v>
      </c>
      <c r="E43">
        <v>55</v>
      </c>
      <c r="F43">
        <v>1357</v>
      </c>
      <c r="G43">
        <f aca="true" t="shared" si="4" ref="G43:G49">corr40*(F43+E43)/(D43-14*2)</f>
        <v>0.7745705387131953</v>
      </c>
      <c r="N43">
        <v>1.66</v>
      </c>
      <c r="O43">
        <f>0.2719*N43^3-1.4319*N43^2+1.9489*N43-0.0221</f>
        <v>0.5110814424000001</v>
      </c>
    </row>
    <row r="44" spans="1:15" ht="12.75">
      <c r="A44" s="1">
        <v>100</v>
      </c>
      <c r="B44">
        <f t="shared" si="3"/>
        <v>1.1479423188166267</v>
      </c>
      <c r="C44">
        <v>43639</v>
      </c>
      <c r="D44">
        <v>1839</v>
      </c>
      <c r="E44">
        <v>52</v>
      </c>
      <c r="F44">
        <v>1263</v>
      </c>
      <c r="G44">
        <f t="shared" si="4"/>
        <v>0.7305213473219215</v>
      </c>
      <c r="N44">
        <f aca="true" t="shared" si="5" ref="N44:N49">N43+0.01</f>
        <v>1.67</v>
      </c>
      <c r="O44">
        <f aca="true" t="shared" si="6" ref="O44:O49">0.2719*N44^3-1.4319*N44^2+1.9489*N44-0.0221</f>
        <v>0.5055012796999998</v>
      </c>
    </row>
    <row r="45" spans="1:15" ht="12.75">
      <c r="A45">
        <v>120</v>
      </c>
      <c r="B45">
        <f t="shared" si="3"/>
        <v>1.3545368151392445</v>
      </c>
      <c r="C45">
        <v>35352</v>
      </c>
      <c r="D45">
        <v>1879</v>
      </c>
      <c r="E45">
        <v>46</v>
      </c>
      <c r="F45">
        <v>1170</v>
      </c>
      <c r="G45">
        <f t="shared" si="4"/>
        <v>0.6609258908698001</v>
      </c>
      <c r="N45" s="2">
        <f t="shared" si="5"/>
        <v>1.68</v>
      </c>
      <c r="O45" s="2">
        <f t="shared" si="6"/>
        <v>0.4999071808000002</v>
      </c>
    </row>
    <row r="46" spans="1:15" ht="12.75">
      <c r="A46">
        <v>150</v>
      </c>
      <c r="B46">
        <f t="shared" si="3"/>
        <v>1.6644285596231714</v>
      </c>
      <c r="C46">
        <v>26861</v>
      </c>
      <c r="D46">
        <v>1894</v>
      </c>
      <c r="E46">
        <v>44</v>
      </c>
      <c r="F46">
        <v>917</v>
      </c>
      <c r="G46">
        <f t="shared" si="4"/>
        <v>0.5181283515541265</v>
      </c>
      <c r="N46">
        <f t="shared" si="5"/>
        <v>1.69</v>
      </c>
      <c r="O46">
        <f t="shared" si="6"/>
        <v>0.4943007771000003</v>
      </c>
    </row>
    <row r="47" spans="1:15" ht="12.75">
      <c r="A47">
        <v>180</v>
      </c>
      <c r="B47">
        <f t="shared" si="3"/>
        <v>1.9743203041070985</v>
      </c>
      <c r="C47">
        <v>19501</v>
      </c>
      <c r="D47">
        <v>1918</v>
      </c>
      <c r="E47">
        <v>32</v>
      </c>
      <c r="F47">
        <v>610</v>
      </c>
      <c r="G47">
        <f t="shared" si="4"/>
        <v>0.34174237460317464</v>
      </c>
      <c r="N47">
        <f t="shared" si="5"/>
        <v>1.7</v>
      </c>
      <c r="O47">
        <f t="shared" si="6"/>
        <v>0.48868370000000105</v>
      </c>
    </row>
    <row r="48" spans="1:15" ht="12.75">
      <c r="A48">
        <v>210</v>
      </c>
      <c r="B48">
        <f t="shared" si="3"/>
        <v>2.284212048591025</v>
      </c>
      <c r="C48">
        <v>14689</v>
      </c>
      <c r="D48">
        <v>1832</v>
      </c>
      <c r="E48">
        <v>14</v>
      </c>
      <c r="F48">
        <v>324</v>
      </c>
      <c r="G48">
        <f t="shared" si="4"/>
        <v>0.18849757871396897</v>
      </c>
      <c r="N48">
        <f t="shared" si="5"/>
        <v>1.71</v>
      </c>
      <c r="O48">
        <f t="shared" si="6"/>
        <v>0.48305758090000017</v>
      </c>
    </row>
    <row r="49" spans="1:15" ht="12.75">
      <c r="A49">
        <v>240</v>
      </c>
      <c r="B49">
        <f t="shared" si="3"/>
        <v>2.5941037930749524</v>
      </c>
      <c r="C49">
        <v>11166</v>
      </c>
      <c r="D49">
        <v>1921</v>
      </c>
      <c r="E49">
        <v>13</v>
      </c>
      <c r="F49">
        <v>267</v>
      </c>
      <c r="G49">
        <f t="shared" si="4"/>
        <v>0.1488103116745906</v>
      </c>
      <c r="N49">
        <f t="shared" si="5"/>
        <v>1.72</v>
      </c>
      <c r="O49">
        <f t="shared" si="6"/>
        <v>0.4774240512000003</v>
      </c>
    </row>
    <row r="53" ht="12.75">
      <c r="A53" t="s">
        <v>11</v>
      </c>
    </row>
    <row r="55" spans="1:7" ht="12.75">
      <c r="A55" t="s">
        <v>0</v>
      </c>
      <c r="B55" t="s">
        <v>1</v>
      </c>
      <c r="C55" t="s">
        <v>2</v>
      </c>
      <c r="D55" t="s">
        <v>3</v>
      </c>
      <c r="E55" t="s">
        <v>4</v>
      </c>
      <c r="F55" t="s">
        <v>5</v>
      </c>
      <c r="G55" t="s">
        <v>6</v>
      </c>
    </row>
    <row r="56" spans="1:15" ht="12.75">
      <c r="A56">
        <v>85</v>
      </c>
      <c r="B56">
        <f aca="true" t="shared" si="7" ref="B56:B63">(A56-offset)/gain</f>
        <v>0.9929964465746631</v>
      </c>
      <c r="C56">
        <v>59515</v>
      </c>
      <c r="D56">
        <v>1893</v>
      </c>
      <c r="E56">
        <v>57</v>
      </c>
      <c r="F56">
        <v>1407</v>
      </c>
      <c r="G56">
        <f aca="true" t="shared" si="8" ref="G56:G63">corr40*(F56+E56)/(D56-14*2)</f>
        <v>0.7897467538873995</v>
      </c>
      <c r="N56">
        <v>1.9</v>
      </c>
      <c r="O56">
        <f>0.1554*N56^3-0.9224*N56^2+1.3414*N56+0.2223</f>
        <v>0.5069846000000002</v>
      </c>
    </row>
    <row r="57" spans="1:15" ht="12.75">
      <c r="A57" s="1">
        <v>100</v>
      </c>
      <c r="B57">
        <f t="shared" si="7"/>
        <v>1.1479423188166267</v>
      </c>
      <c r="C57">
        <v>51666</v>
      </c>
      <c r="D57">
        <v>1901</v>
      </c>
      <c r="E57">
        <v>56</v>
      </c>
      <c r="F57">
        <v>1421</v>
      </c>
      <c r="G57">
        <f t="shared" si="8"/>
        <v>0.7933563950880941</v>
      </c>
      <c r="N57" s="2">
        <f aca="true" t="shared" si="9" ref="N57:N63">N56+0.01</f>
        <v>1.91</v>
      </c>
      <c r="O57" s="2">
        <f aca="true" t="shared" si="10" ref="O57:O63">0.1554*N57^3-0.9224*N57^2+1.3414*N57+0.2223</f>
        <v>0.5021737134000002</v>
      </c>
    </row>
    <row r="58" spans="1:15" ht="12.75">
      <c r="A58">
        <v>120</v>
      </c>
      <c r="B58">
        <f t="shared" si="7"/>
        <v>1.3545368151392445</v>
      </c>
      <c r="C58">
        <v>42966</v>
      </c>
      <c r="D58">
        <v>1884</v>
      </c>
      <c r="E58">
        <v>42</v>
      </c>
      <c r="F58">
        <v>1304</v>
      </c>
      <c r="G58">
        <f t="shared" si="8"/>
        <v>0.7296132241379311</v>
      </c>
      <c r="N58">
        <f t="shared" si="9"/>
        <v>1.92</v>
      </c>
      <c r="O58">
        <f t="shared" si="10"/>
        <v>0.4973564351999998</v>
      </c>
    </row>
    <row r="59" spans="1:15" ht="12.75">
      <c r="A59">
        <v>150</v>
      </c>
      <c r="B59">
        <f t="shared" si="7"/>
        <v>1.6644285596231714</v>
      </c>
      <c r="C59">
        <v>33184</v>
      </c>
      <c r="D59">
        <v>1888</v>
      </c>
      <c r="E59">
        <v>46</v>
      </c>
      <c r="F59">
        <v>1108</v>
      </c>
      <c r="G59">
        <f t="shared" si="8"/>
        <v>0.6241923956989248</v>
      </c>
      <c r="N59">
        <f t="shared" si="9"/>
        <v>1.93</v>
      </c>
      <c r="O59">
        <f t="shared" si="10"/>
        <v>0.4925336977999997</v>
      </c>
    </row>
    <row r="60" spans="1:15" ht="12.75">
      <c r="A60">
        <v>180</v>
      </c>
      <c r="B60">
        <f t="shared" si="7"/>
        <v>1.9743203041070985</v>
      </c>
      <c r="C60">
        <v>25659</v>
      </c>
      <c r="D60">
        <v>1881</v>
      </c>
      <c r="E60">
        <v>29</v>
      </c>
      <c r="F60">
        <v>794</v>
      </c>
      <c r="G60">
        <f t="shared" si="8"/>
        <v>0.44683792336751216</v>
      </c>
      <c r="N60">
        <f t="shared" si="9"/>
        <v>1.94</v>
      </c>
      <c r="O60">
        <f t="shared" si="10"/>
        <v>0.4877064335999995</v>
      </c>
    </row>
    <row r="61" spans="1:15" ht="12.75">
      <c r="A61">
        <v>210</v>
      </c>
      <c r="B61">
        <f t="shared" si="7"/>
        <v>2.284212048591025</v>
      </c>
      <c r="C61">
        <v>19148</v>
      </c>
      <c r="D61">
        <v>1880</v>
      </c>
      <c r="E61">
        <v>27</v>
      </c>
      <c r="F61">
        <v>613</v>
      </c>
      <c r="G61">
        <f t="shared" si="8"/>
        <v>0.34766790496760264</v>
      </c>
      <c r="N61">
        <f t="shared" si="9"/>
        <v>1.95</v>
      </c>
      <c r="O61">
        <f t="shared" si="10"/>
        <v>0.48287557499999983</v>
      </c>
    </row>
    <row r="62" spans="1:15" ht="12.75">
      <c r="A62">
        <v>240</v>
      </c>
      <c r="B62">
        <f t="shared" si="7"/>
        <v>2.5941037930749524</v>
      </c>
      <c r="C62">
        <v>14703</v>
      </c>
      <c r="D62">
        <v>1939</v>
      </c>
      <c r="E62">
        <v>14</v>
      </c>
      <c r="F62">
        <v>368</v>
      </c>
      <c r="G62">
        <f t="shared" si="8"/>
        <v>0.2011075081109367</v>
      </c>
      <c r="N62">
        <f t="shared" si="9"/>
        <v>1.96</v>
      </c>
      <c r="O62">
        <f t="shared" si="10"/>
        <v>0.4780420544000002</v>
      </c>
    </row>
    <row r="63" spans="1:15" ht="12.75">
      <c r="A63">
        <v>270</v>
      </c>
      <c r="B63">
        <f t="shared" si="7"/>
        <v>2.9039955375588793</v>
      </c>
      <c r="C63">
        <v>11183</v>
      </c>
      <c r="D63">
        <v>1878</v>
      </c>
      <c r="E63">
        <v>12</v>
      </c>
      <c r="F63">
        <v>254</v>
      </c>
      <c r="G63">
        <f t="shared" si="8"/>
        <v>0.14465568864864864</v>
      </c>
      <c r="N63">
        <f t="shared" si="9"/>
        <v>1.97</v>
      </c>
      <c r="O63">
        <f t="shared" si="10"/>
        <v>0.4732068042</v>
      </c>
    </row>
    <row r="68" spans="1:4" ht="12.75">
      <c r="A68" t="s">
        <v>13</v>
      </c>
      <c r="C68" s="3"/>
      <c r="D68" s="3"/>
    </row>
    <row r="70" spans="1:7" ht="12.75">
      <c r="A70" t="s">
        <v>0</v>
      </c>
      <c r="B70" t="s">
        <v>1</v>
      </c>
      <c r="C70" t="s">
        <v>2</v>
      </c>
      <c r="D70" t="s">
        <v>3</v>
      </c>
      <c r="E70" t="s">
        <v>4</v>
      </c>
      <c r="F70" t="s">
        <v>5</v>
      </c>
      <c r="G70" t="s">
        <v>6</v>
      </c>
    </row>
    <row r="71" spans="1:15" ht="12.75">
      <c r="A71">
        <v>85</v>
      </c>
      <c r="B71">
        <f aca="true" t="shared" si="11" ref="B71:B79">(A71-offset)/gain</f>
        <v>0.9929964465746631</v>
      </c>
      <c r="C71">
        <v>63091</v>
      </c>
      <c r="D71">
        <v>1878</v>
      </c>
      <c r="E71">
        <v>60</v>
      </c>
      <c r="F71">
        <v>1396</v>
      </c>
      <c r="G71">
        <f aca="true" t="shared" si="12" ref="G71:G79">corr40*(F71+E71)/(D71-14*2)</f>
        <v>0.791799558918919</v>
      </c>
      <c r="N71">
        <v>2.05</v>
      </c>
      <c r="O71">
        <f>0.117*N71^3-0.7581*N71^2+1.1974*N71+0.2349</f>
        <v>0.5116243749999997</v>
      </c>
    </row>
    <row r="72" spans="1:15" ht="12.75">
      <c r="A72" s="1">
        <v>100</v>
      </c>
      <c r="B72">
        <f t="shared" si="11"/>
        <v>1.1479423188166267</v>
      </c>
      <c r="C72">
        <v>55463</v>
      </c>
      <c r="D72">
        <v>1923</v>
      </c>
      <c r="E72">
        <v>56</v>
      </c>
      <c r="F72">
        <v>1425</v>
      </c>
      <c r="G72">
        <f t="shared" si="12"/>
        <v>0.7862695430079156</v>
      </c>
      <c r="N72">
        <f aca="true" t="shared" si="13" ref="N72:N78">N71+0.01</f>
        <v>2.0599999999999996</v>
      </c>
      <c r="O72">
        <f aca="true" t="shared" si="14" ref="O72:O78">0.117*N72^3-0.7581*N72^2+1.1974*N72+0.2349</f>
        <v>0.5072633120000004</v>
      </c>
    </row>
    <row r="73" spans="1:15" ht="12.75">
      <c r="A73">
        <v>120</v>
      </c>
      <c r="B73">
        <f t="shared" si="11"/>
        <v>1.3545368151392445</v>
      </c>
      <c r="C73">
        <v>46842</v>
      </c>
      <c r="D73">
        <v>1794</v>
      </c>
      <c r="E73">
        <v>50</v>
      </c>
      <c r="F73">
        <v>1278</v>
      </c>
      <c r="G73">
        <f t="shared" si="12"/>
        <v>0.7565418980747453</v>
      </c>
      <c r="N73">
        <f t="shared" si="13"/>
        <v>2.0699999999999994</v>
      </c>
      <c r="O73">
        <f t="shared" si="14"/>
        <v>0.5028952409999999</v>
      </c>
    </row>
    <row r="74" spans="1:15" ht="12.75">
      <c r="A74">
        <v>150</v>
      </c>
      <c r="B74">
        <f t="shared" si="11"/>
        <v>1.6644285596231714</v>
      </c>
      <c r="C74">
        <v>36539</v>
      </c>
      <c r="D74">
        <v>1868</v>
      </c>
      <c r="E74">
        <v>52</v>
      </c>
      <c r="F74">
        <v>1162</v>
      </c>
      <c r="G74">
        <f t="shared" si="12"/>
        <v>0.6637835304347827</v>
      </c>
      <c r="N74" s="2">
        <f t="shared" si="13"/>
        <v>2.079999999999999</v>
      </c>
      <c r="O74" s="2">
        <f t="shared" si="14"/>
        <v>0.4985208640000004</v>
      </c>
    </row>
    <row r="75" spans="1:15" ht="12.75">
      <c r="A75">
        <v>180</v>
      </c>
      <c r="B75">
        <f t="shared" si="11"/>
        <v>1.9743203041070985</v>
      </c>
      <c r="C75">
        <v>29082</v>
      </c>
      <c r="D75">
        <v>1903</v>
      </c>
      <c r="E75">
        <v>36</v>
      </c>
      <c r="F75">
        <v>1007</v>
      </c>
      <c r="G75">
        <f t="shared" si="12"/>
        <v>0.5596398677333333</v>
      </c>
      <c r="N75">
        <f t="shared" si="13"/>
        <v>2.089999999999999</v>
      </c>
      <c r="O75">
        <f t="shared" si="14"/>
        <v>0.4941408830000008</v>
      </c>
    </row>
    <row r="76" spans="1:15" ht="12.75">
      <c r="A76">
        <v>210</v>
      </c>
      <c r="B76">
        <f t="shared" si="11"/>
        <v>2.284212048591025</v>
      </c>
      <c r="C76">
        <v>22888</v>
      </c>
      <c r="D76">
        <v>1944</v>
      </c>
      <c r="E76">
        <v>30</v>
      </c>
      <c r="F76">
        <v>708</v>
      </c>
      <c r="G76">
        <f t="shared" si="12"/>
        <v>0.38751316910229644</v>
      </c>
      <c r="N76">
        <f t="shared" si="13"/>
        <v>2.0999999999999988</v>
      </c>
      <c r="O76">
        <f t="shared" si="14"/>
        <v>0.4897560000000002</v>
      </c>
    </row>
    <row r="77" spans="1:15" ht="12.75">
      <c r="A77">
        <v>240</v>
      </c>
      <c r="B77">
        <f t="shared" si="11"/>
        <v>2.5941037930749524</v>
      </c>
      <c r="C77">
        <v>17790</v>
      </c>
      <c r="D77">
        <v>1919</v>
      </c>
      <c r="E77">
        <v>23</v>
      </c>
      <c r="F77">
        <v>527</v>
      </c>
      <c r="G77">
        <f t="shared" si="12"/>
        <v>0.2926151242728715</v>
      </c>
      <c r="N77">
        <f t="shared" si="13"/>
        <v>2.1099999999999985</v>
      </c>
      <c r="O77">
        <f t="shared" si="14"/>
        <v>0.4853669170000011</v>
      </c>
    </row>
    <row r="78" spans="1:15" ht="12.75">
      <c r="A78">
        <v>270</v>
      </c>
      <c r="B78">
        <f t="shared" si="11"/>
        <v>2.9039955375588793</v>
      </c>
      <c r="C78">
        <v>13860</v>
      </c>
      <c r="D78">
        <v>1833</v>
      </c>
      <c r="E78">
        <v>16</v>
      </c>
      <c r="F78">
        <v>312</v>
      </c>
      <c r="G78">
        <f t="shared" si="12"/>
        <v>0.18281938614958448</v>
      </c>
      <c r="N78">
        <f t="shared" si="13"/>
        <v>2.1199999999999983</v>
      </c>
      <c r="O78">
        <f t="shared" si="14"/>
        <v>0.48097433600000083</v>
      </c>
    </row>
    <row r="79" spans="1:7" ht="12.75">
      <c r="A79">
        <v>300</v>
      </c>
      <c r="B79">
        <f t="shared" si="11"/>
        <v>3.213887282042806</v>
      </c>
      <c r="C79">
        <v>10778</v>
      </c>
      <c r="D79">
        <v>1959</v>
      </c>
      <c r="E79">
        <v>9</v>
      </c>
      <c r="F79">
        <v>250</v>
      </c>
      <c r="G79">
        <f t="shared" si="12"/>
        <v>0.13494074365613673</v>
      </c>
    </row>
    <row r="84" spans="1:4" ht="12.75">
      <c r="A84" t="s">
        <v>26</v>
      </c>
      <c r="C84" s="3"/>
      <c r="D84" s="3"/>
    </row>
    <row r="86" spans="1:15" ht="12.75">
      <c r="A86" t="s">
        <v>0</v>
      </c>
      <c r="B86" t="s">
        <v>1</v>
      </c>
      <c r="C86" t="s">
        <v>2</v>
      </c>
      <c r="D86" t="s">
        <v>3</v>
      </c>
      <c r="E86" t="s">
        <v>4</v>
      </c>
      <c r="F86" t="s">
        <v>5</v>
      </c>
      <c r="G86" t="s">
        <v>6</v>
      </c>
      <c r="N86">
        <v>2.25</v>
      </c>
      <c r="O86">
        <f>0.0653*N86^3-0.4791*N86^2+0.7944*N86+0.4106</f>
        <v>0.5163640624999997</v>
      </c>
    </row>
    <row r="87" spans="1:15" ht="12.75">
      <c r="A87">
        <v>85</v>
      </c>
      <c r="B87">
        <f aca="true" t="shared" si="15" ref="B87:B94">(A87-offset)/gain</f>
        <v>0.9929964465746631</v>
      </c>
      <c r="C87">
        <v>69332</v>
      </c>
      <c r="D87">
        <v>1888</v>
      </c>
      <c r="E87">
        <v>61</v>
      </c>
      <c r="F87">
        <v>1411</v>
      </c>
      <c r="G87">
        <f aca="true" t="shared" si="16" ref="G87:G94">corr40*(F87+E87)/(D87-14*2)</f>
        <v>0.7961968860215054</v>
      </c>
      <c r="N87">
        <f aca="true" t="shared" si="17" ref="N87:N94">N86+0.01</f>
        <v>2.26</v>
      </c>
      <c r="O87">
        <f aca="true" t="shared" si="18" ref="O87:O94">0.0653*N87^3-0.4791*N87^2+0.7944*N87+0.4106</f>
        <v>0.5126622328000001</v>
      </c>
    </row>
    <row r="88" spans="1:15" ht="12.75">
      <c r="A88">
        <v>120</v>
      </c>
      <c r="B88">
        <f t="shared" si="15"/>
        <v>1.3545368151392445</v>
      </c>
      <c r="C88">
        <v>51992</v>
      </c>
      <c r="D88">
        <v>1858</v>
      </c>
      <c r="E88">
        <v>44</v>
      </c>
      <c r="F88">
        <v>1333</v>
      </c>
      <c r="G88">
        <f t="shared" si="16"/>
        <v>0.7570219278688525</v>
      </c>
      <c r="N88">
        <f t="shared" si="17"/>
        <v>2.2699999999999996</v>
      </c>
      <c r="O88">
        <f t="shared" si="18"/>
        <v>0.5089531299000001</v>
      </c>
    </row>
    <row r="89" spans="1:15" ht="12.75">
      <c r="A89">
        <v>150</v>
      </c>
      <c r="B89">
        <f t="shared" si="15"/>
        <v>1.6644285596231714</v>
      </c>
      <c r="C89">
        <v>41085</v>
      </c>
      <c r="D89">
        <v>1892</v>
      </c>
      <c r="E89">
        <v>47</v>
      </c>
      <c r="F89">
        <v>1256</v>
      </c>
      <c r="G89">
        <f t="shared" si="16"/>
        <v>0.7032732789699571</v>
      </c>
      <c r="N89">
        <f t="shared" si="17"/>
        <v>2.2799999999999994</v>
      </c>
      <c r="O89">
        <f t="shared" si="18"/>
        <v>0.5052371456000004</v>
      </c>
    </row>
    <row r="90" spans="1:15" ht="12.75">
      <c r="A90">
        <v>180</v>
      </c>
      <c r="B90">
        <f t="shared" si="15"/>
        <v>1.9743203041070985</v>
      </c>
      <c r="C90">
        <v>33535</v>
      </c>
      <c r="D90">
        <v>1849</v>
      </c>
      <c r="E90">
        <v>49</v>
      </c>
      <c r="F90">
        <v>1108</v>
      </c>
      <c r="G90">
        <f t="shared" si="16"/>
        <v>0.6392180384404175</v>
      </c>
      <c r="N90" s="2">
        <f t="shared" si="17"/>
        <v>2.289999999999999</v>
      </c>
      <c r="O90" s="2">
        <f t="shared" si="18"/>
        <v>0.5015146717000003</v>
      </c>
    </row>
    <row r="91" spans="1:15" ht="12.75">
      <c r="A91">
        <v>210</v>
      </c>
      <c r="B91">
        <f t="shared" si="15"/>
        <v>2.284212048591025</v>
      </c>
      <c r="C91">
        <v>27760</v>
      </c>
      <c r="D91">
        <v>1984</v>
      </c>
      <c r="E91">
        <v>40</v>
      </c>
      <c r="F91">
        <v>906</v>
      </c>
      <c r="G91">
        <f t="shared" si="16"/>
        <v>0.48657287525562376</v>
      </c>
      <c r="N91">
        <f t="shared" si="17"/>
        <v>2.299999999999999</v>
      </c>
      <c r="O91">
        <f t="shared" si="18"/>
        <v>0.4977861000000003</v>
      </c>
    </row>
    <row r="92" spans="1:15" ht="12.75">
      <c r="A92">
        <v>240</v>
      </c>
      <c r="B92">
        <f t="shared" si="15"/>
        <v>2.5941037930749524</v>
      </c>
      <c r="C92">
        <v>21915</v>
      </c>
      <c r="D92">
        <v>1862</v>
      </c>
      <c r="E92">
        <v>30</v>
      </c>
      <c r="F92">
        <v>680</v>
      </c>
      <c r="G92">
        <f t="shared" si="16"/>
        <v>0.38947952017448206</v>
      </c>
      <c r="N92">
        <f t="shared" si="17"/>
        <v>2.3099999999999987</v>
      </c>
      <c r="O92">
        <f t="shared" si="18"/>
        <v>0.4940518223000005</v>
      </c>
    </row>
    <row r="93" spans="1:15" ht="12.75">
      <c r="A93">
        <v>270</v>
      </c>
      <c r="B93">
        <f t="shared" si="15"/>
        <v>2.9039955375588793</v>
      </c>
      <c r="C93">
        <v>17791</v>
      </c>
      <c r="D93">
        <v>1863</v>
      </c>
      <c r="E93">
        <v>18</v>
      </c>
      <c r="F93">
        <v>478</v>
      </c>
      <c r="G93">
        <f t="shared" si="16"/>
        <v>0.27193882506811995</v>
      </c>
      <c r="N93">
        <f t="shared" si="17"/>
        <v>2.3199999999999985</v>
      </c>
      <c r="O93">
        <f t="shared" si="18"/>
        <v>0.4903122304000002</v>
      </c>
    </row>
    <row r="94" spans="1:15" ht="12.75">
      <c r="A94">
        <v>300</v>
      </c>
      <c r="B94">
        <f t="shared" si="15"/>
        <v>3.213887282042806</v>
      </c>
      <c r="C94">
        <v>14099</v>
      </c>
      <c r="D94">
        <v>1811</v>
      </c>
      <c r="E94">
        <v>9</v>
      </c>
      <c r="F94">
        <v>317</v>
      </c>
      <c r="G94">
        <f t="shared" si="16"/>
        <v>0.1839466427369602</v>
      </c>
      <c r="N94">
        <f t="shared" si="17"/>
        <v>2.3299999999999983</v>
      </c>
      <c r="O94">
        <f t="shared" si="18"/>
        <v>0.4865677161000003</v>
      </c>
    </row>
    <row r="98" spans="1:4" ht="12.75">
      <c r="A98" t="s">
        <v>28</v>
      </c>
      <c r="C98" s="3"/>
      <c r="D98" s="3"/>
    </row>
    <row r="100" spans="1:7" ht="12.75">
      <c r="A100" t="s">
        <v>0</v>
      </c>
      <c r="B100" t="s">
        <v>1</v>
      </c>
      <c r="C100" t="s">
        <v>2</v>
      </c>
      <c r="D100" t="s">
        <v>3</v>
      </c>
      <c r="E100" t="s">
        <v>4</v>
      </c>
      <c r="F100" t="s">
        <v>5</v>
      </c>
      <c r="G100" t="s">
        <v>6</v>
      </c>
    </row>
    <row r="101" spans="1:7" ht="12.75">
      <c r="A101">
        <v>85</v>
      </c>
      <c r="B101">
        <f aca="true" t="shared" si="19" ref="B101:B110">(A101-offset)/gain</f>
        <v>0.9929964465746631</v>
      </c>
      <c r="C101">
        <v>70366</v>
      </c>
      <c r="D101">
        <v>1813</v>
      </c>
      <c r="E101">
        <v>55</v>
      </c>
      <c r="F101">
        <v>1383</v>
      </c>
      <c r="G101">
        <f aca="true" t="shared" si="20" ref="G101:G110">corr40*(F101+E101)/(D101-14*2)</f>
        <v>0.8104874128851541</v>
      </c>
    </row>
    <row r="102" spans="1:15" ht="12.75">
      <c r="A102">
        <v>100</v>
      </c>
      <c r="B102">
        <f t="shared" si="19"/>
        <v>1.1479423188166267</v>
      </c>
      <c r="C102">
        <v>63242</v>
      </c>
      <c r="D102">
        <v>1933</v>
      </c>
      <c r="E102">
        <v>57</v>
      </c>
      <c r="F102">
        <v>1474</v>
      </c>
      <c r="G102">
        <f t="shared" si="20"/>
        <v>0.8085480230971129</v>
      </c>
      <c r="N102">
        <v>2.4</v>
      </c>
      <c r="O102">
        <f>0.0494*N102^3-0.369*N102^2+0.5805*N102+0.5519</f>
        <v>0.5025656000000002</v>
      </c>
    </row>
    <row r="103" spans="1:15" ht="12.75">
      <c r="A103">
        <v>120</v>
      </c>
      <c r="B103">
        <f t="shared" si="19"/>
        <v>1.3545368151392445</v>
      </c>
      <c r="C103">
        <v>54708</v>
      </c>
      <c r="D103">
        <v>1892</v>
      </c>
      <c r="E103">
        <v>40</v>
      </c>
      <c r="F103">
        <v>1405</v>
      </c>
      <c r="G103">
        <f t="shared" si="20"/>
        <v>0.7799154935622318</v>
      </c>
      <c r="N103" s="2">
        <f aca="true" t="shared" si="21" ref="N103:N110">N102+0.01</f>
        <v>2.4099999999999997</v>
      </c>
      <c r="O103" s="2">
        <f aca="true" t="shared" si="22" ref="O103:O110">0.0494*N103^3-0.369*N103^2+0.5805*N103+0.5519</f>
        <v>0.4991936374000002</v>
      </c>
    </row>
    <row r="104" spans="1:15" ht="12.75">
      <c r="A104">
        <v>150</v>
      </c>
      <c r="B104">
        <f t="shared" si="19"/>
        <v>1.6644285596231714</v>
      </c>
      <c r="C104">
        <v>44229</v>
      </c>
      <c r="D104">
        <v>1837</v>
      </c>
      <c r="E104">
        <v>56</v>
      </c>
      <c r="F104">
        <v>1274</v>
      </c>
      <c r="G104">
        <f t="shared" si="20"/>
        <v>0.739671155334439</v>
      </c>
      <c r="N104">
        <f t="shared" si="21"/>
        <v>2.4199999999999995</v>
      </c>
      <c r="O104">
        <f t="shared" si="22"/>
        <v>0.49581930720000045</v>
      </c>
    </row>
    <row r="105" spans="1:15" ht="12.75">
      <c r="A105">
        <v>180</v>
      </c>
      <c r="B105">
        <f t="shared" si="19"/>
        <v>1.9743203041070985</v>
      </c>
      <c r="C105">
        <v>35794</v>
      </c>
      <c r="D105">
        <v>1914</v>
      </c>
      <c r="E105">
        <v>42</v>
      </c>
      <c r="F105">
        <v>1146</v>
      </c>
      <c r="G105">
        <f t="shared" si="20"/>
        <v>0.6337243011664899</v>
      </c>
      <c r="N105">
        <f t="shared" si="21"/>
        <v>2.4299999999999993</v>
      </c>
      <c r="O105">
        <f t="shared" si="22"/>
        <v>0.4924429058000005</v>
      </c>
    </row>
    <row r="106" spans="1:15" ht="12.75">
      <c r="A106">
        <v>210</v>
      </c>
      <c r="B106">
        <f t="shared" si="19"/>
        <v>2.284212048591025</v>
      </c>
      <c r="C106">
        <v>30157</v>
      </c>
      <c r="D106">
        <v>1831</v>
      </c>
      <c r="E106">
        <v>33</v>
      </c>
      <c r="F106">
        <v>910</v>
      </c>
      <c r="G106">
        <f t="shared" si="20"/>
        <v>0.5261887698280644</v>
      </c>
      <c r="N106">
        <f t="shared" si="21"/>
        <v>2.439999999999999</v>
      </c>
      <c r="O106">
        <f t="shared" si="22"/>
        <v>0.48906472960000047</v>
      </c>
    </row>
    <row r="107" spans="1:15" ht="12.75">
      <c r="A107">
        <v>240</v>
      </c>
      <c r="B107">
        <f t="shared" si="19"/>
        <v>2.5941037930749524</v>
      </c>
      <c r="C107">
        <v>24626</v>
      </c>
      <c r="D107">
        <v>1858</v>
      </c>
      <c r="E107">
        <v>31</v>
      </c>
      <c r="F107">
        <v>770</v>
      </c>
      <c r="G107">
        <f t="shared" si="20"/>
        <v>0.44035916065573777</v>
      </c>
      <c r="N107">
        <f t="shared" si="21"/>
        <v>2.449999999999999</v>
      </c>
      <c r="O107">
        <f t="shared" si="22"/>
        <v>0.48568507500000047</v>
      </c>
    </row>
    <row r="108" spans="1:15" ht="12.75">
      <c r="A108">
        <v>270</v>
      </c>
      <c r="B108">
        <f t="shared" si="19"/>
        <v>2.9039955375588793</v>
      </c>
      <c r="C108">
        <v>19914</v>
      </c>
      <c r="D108">
        <v>1870</v>
      </c>
      <c r="E108">
        <v>23</v>
      </c>
      <c r="F108">
        <v>615</v>
      </c>
      <c r="G108">
        <f t="shared" si="20"/>
        <v>0.3484629923995657</v>
      </c>
      <c r="N108">
        <f t="shared" si="21"/>
        <v>2.4599999999999986</v>
      </c>
      <c r="O108">
        <f t="shared" si="22"/>
        <v>0.48230423840000036</v>
      </c>
    </row>
    <row r="109" spans="1:15" ht="12.75">
      <c r="A109">
        <v>300</v>
      </c>
      <c r="B109">
        <f t="shared" si="19"/>
        <v>3.213887282042806</v>
      </c>
      <c r="C109">
        <v>16213</v>
      </c>
      <c r="D109">
        <v>1883</v>
      </c>
      <c r="E109">
        <v>13</v>
      </c>
      <c r="F109">
        <v>430</v>
      </c>
      <c r="G109">
        <f t="shared" si="20"/>
        <v>0.24026218436657684</v>
      </c>
      <c r="N109">
        <f t="shared" si="21"/>
        <v>2.4699999999999984</v>
      </c>
      <c r="O109">
        <f t="shared" si="22"/>
        <v>0.4789225162000005</v>
      </c>
    </row>
    <row r="110" spans="1:15" ht="12.75">
      <c r="A110">
        <v>330</v>
      </c>
      <c r="B110">
        <f t="shared" si="19"/>
        <v>3.523779026526733</v>
      </c>
      <c r="C110">
        <v>13155</v>
      </c>
      <c r="D110">
        <v>1862</v>
      </c>
      <c r="E110">
        <v>11</v>
      </c>
      <c r="F110">
        <v>311</v>
      </c>
      <c r="G110">
        <f t="shared" si="20"/>
        <v>0.17663719083969465</v>
      </c>
      <c r="N110">
        <f t="shared" si="21"/>
        <v>2.479999999999998</v>
      </c>
      <c r="O110">
        <f t="shared" si="22"/>
        <v>0.4755402048000007</v>
      </c>
    </row>
    <row r="115" spans="1:4" ht="12.75">
      <c r="A115" t="s">
        <v>15</v>
      </c>
      <c r="C115" s="3"/>
      <c r="D115" s="3"/>
    </row>
    <row r="117" spans="1:7" ht="12.75">
      <c r="A117" t="s">
        <v>0</v>
      </c>
      <c r="B117" t="s">
        <v>1</v>
      </c>
      <c r="C117" t="s">
        <v>2</v>
      </c>
      <c r="D117" t="s">
        <v>3</v>
      </c>
      <c r="E117" t="s">
        <v>4</v>
      </c>
      <c r="F117" t="s">
        <v>5</v>
      </c>
      <c r="G117" t="s">
        <v>6</v>
      </c>
    </row>
    <row r="118" spans="1:15" ht="12.75">
      <c r="A118">
        <v>85</v>
      </c>
      <c r="B118">
        <f aca="true" t="shared" si="23" ref="B118:B125">(A118-offset)/gain</f>
        <v>0.9929964465746631</v>
      </c>
      <c r="C118">
        <v>74016</v>
      </c>
      <c r="D118">
        <v>1872</v>
      </c>
      <c r="E118">
        <v>50</v>
      </c>
      <c r="F118">
        <v>1432</v>
      </c>
      <c r="G118">
        <f aca="true" t="shared" si="24" ref="G118:G125">corr40*(F118+E118)/(D118-14*2)</f>
        <v>0.8085611973969631</v>
      </c>
      <c r="N118">
        <v>2.5</v>
      </c>
      <c r="O118">
        <f>0.0514*N118^3-0.405*N118^2+0.7191*N118+0.4422</f>
        <v>0.511825</v>
      </c>
    </row>
    <row r="119" spans="1:15" ht="12.75">
      <c r="A119">
        <v>150</v>
      </c>
      <c r="B119">
        <f t="shared" si="23"/>
        <v>1.6644285596231714</v>
      </c>
      <c r="C119">
        <v>45600</v>
      </c>
      <c r="D119">
        <v>1856</v>
      </c>
      <c r="E119">
        <v>56</v>
      </c>
      <c r="F119">
        <v>1299</v>
      </c>
      <c r="G119">
        <f t="shared" si="24"/>
        <v>0.7457421881838076</v>
      </c>
      <c r="N119">
        <f aca="true" t="shared" si="25" ref="N119:N125">N118+0.01</f>
        <v>2.51</v>
      </c>
      <c r="O119">
        <f aca="true" t="shared" si="26" ref="O119:O125">0.0514*N119^3-0.405*N119^2+0.7191*N119+0.4422</f>
        <v>0.5084016013999997</v>
      </c>
    </row>
    <row r="120" spans="1:15" ht="12.75">
      <c r="A120">
        <v>180</v>
      </c>
      <c r="B120">
        <f t="shared" si="23"/>
        <v>1.9743203041070985</v>
      </c>
      <c r="C120">
        <v>38771</v>
      </c>
      <c r="D120">
        <v>1888</v>
      </c>
      <c r="E120">
        <v>48</v>
      </c>
      <c r="F120">
        <v>1222</v>
      </c>
      <c r="G120">
        <f t="shared" si="24"/>
        <v>0.6869361720430107</v>
      </c>
      <c r="N120">
        <f t="shared" si="25"/>
        <v>2.5199999999999996</v>
      </c>
      <c r="O120">
        <f t="shared" si="26"/>
        <v>0.5049746111999998</v>
      </c>
    </row>
    <row r="121" spans="1:15" ht="12.75">
      <c r="A121">
        <v>210</v>
      </c>
      <c r="B121">
        <f t="shared" si="23"/>
        <v>2.284212048591025</v>
      </c>
      <c r="C121">
        <v>31857</v>
      </c>
      <c r="D121">
        <v>1942</v>
      </c>
      <c r="E121">
        <v>33</v>
      </c>
      <c r="F121">
        <v>1086</v>
      </c>
      <c r="G121">
        <f t="shared" si="24"/>
        <v>0.5881847523510972</v>
      </c>
      <c r="N121" s="2">
        <f t="shared" si="25"/>
        <v>2.5299999999999994</v>
      </c>
      <c r="O121" s="2">
        <f t="shared" si="26"/>
        <v>0.5015443378</v>
      </c>
    </row>
    <row r="122" spans="1:15" ht="12.75">
      <c r="A122">
        <v>240</v>
      </c>
      <c r="B122">
        <f t="shared" si="23"/>
        <v>2.5941037930749524</v>
      </c>
      <c r="C122">
        <v>31003</v>
      </c>
      <c r="D122">
        <v>1945</v>
      </c>
      <c r="E122">
        <v>28</v>
      </c>
      <c r="F122">
        <v>877</v>
      </c>
      <c r="G122">
        <f t="shared" si="24"/>
        <v>0.4749545748565467</v>
      </c>
      <c r="N122">
        <f t="shared" si="25"/>
        <v>2.539999999999999</v>
      </c>
      <c r="O122">
        <f t="shared" si="26"/>
        <v>0.49811108960000033</v>
      </c>
    </row>
    <row r="123" spans="1:15" ht="12.75">
      <c r="A123">
        <v>270</v>
      </c>
      <c r="B123">
        <f t="shared" si="23"/>
        <v>2.9039955375588793</v>
      </c>
      <c r="C123">
        <v>22560</v>
      </c>
      <c r="D123">
        <v>1851</v>
      </c>
      <c r="E123">
        <v>22</v>
      </c>
      <c r="F123">
        <v>658</v>
      </c>
      <c r="G123">
        <f t="shared" si="24"/>
        <v>0.37527346132748224</v>
      </c>
      <c r="N123">
        <f t="shared" si="25"/>
        <v>2.549999999999999</v>
      </c>
      <c r="O123">
        <f t="shared" si="26"/>
        <v>0.49467517499999986</v>
      </c>
    </row>
    <row r="124" spans="1:15" ht="12.75">
      <c r="A124">
        <v>300</v>
      </c>
      <c r="B124">
        <f t="shared" si="23"/>
        <v>3.213887282042806</v>
      </c>
      <c r="C124">
        <v>18012</v>
      </c>
      <c r="D124">
        <v>1858</v>
      </c>
      <c r="E124">
        <v>14</v>
      </c>
      <c r="F124">
        <v>487</v>
      </c>
      <c r="G124">
        <f t="shared" si="24"/>
        <v>0.2754306360655738</v>
      </c>
      <c r="N124">
        <f t="shared" si="25"/>
        <v>2.5599999999999987</v>
      </c>
      <c r="O124">
        <f t="shared" si="26"/>
        <v>0.4912369024000001</v>
      </c>
    </row>
    <row r="125" spans="1:15" ht="12.75">
      <c r="A125">
        <v>330</v>
      </c>
      <c r="B125">
        <f t="shared" si="23"/>
        <v>3.523779026526733</v>
      </c>
      <c r="C125">
        <v>14829</v>
      </c>
      <c r="D125">
        <v>1800</v>
      </c>
      <c r="E125">
        <v>14</v>
      </c>
      <c r="F125">
        <v>336</v>
      </c>
      <c r="G125">
        <f t="shared" si="24"/>
        <v>0.19871467268623028</v>
      </c>
      <c r="N125">
        <f t="shared" si="25"/>
        <v>2.5699999999999985</v>
      </c>
      <c r="O125">
        <f t="shared" si="26"/>
        <v>0.4877965802000002</v>
      </c>
    </row>
    <row r="130" spans="1:4" ht="12.75">
      <c r="A130" t="s">
        <v>31</v>
      </c>
      <c r="C130" s="3"/>
      <c r="D130" s="3"/>
    </row>
    <row r="132" spans="1:7" ht="12.75">
      <c r="A132" t="s">
        <v>0</v>
      </c>
      <c r="B132" t="s">
        <v>1</v>
      </c>
      <c r="C132" t="s">
        <v>2</v>
      </c>
      <c r="D132" t="s">
        <v>3</v>
      </c>
      <c r="E132" t="s">
        <v>4</v>
      </c>
      <c r="F132" t="s">
        <v>5</v>
      </c>
      <c r="G132" t="s">
        <v>6</v>
      </c>
    </row>
    <row r="133" spans="1:7" ht="12.75">
      <c r="A133">
        <v>85</v>
      </c>
      <c r="B133">
        <f aca="true" t="shared" si="27" ref="B133:B140">(A133-offset)/gain</f>
        <v>0.9929964465746631</v>
      </c>
      <c r="C133">
        <v>130565</v>
      </c>
      <c r="D133">
        <v>1897</v>
      </c>
      <c r="E133">
        <v>83</v>
      </c>
      <c r="F133">
        <v>1419</v>
      </c>
      <c r="G133">
        <f aca="true" t="shared" si="28" ref="G133:G140">corr40*(F133+E133)/(D133-14*2)</f>
        <v>0.808511571963617</v>
      </c>
    </row>
    <row r="134" spans="1:15" ht="12.75">
      <c r="A134">
        <v>150</v>
      </c>
      <c r="B134">
        <f t="shared" si="27"/>
        <v>1.6644285596231714</v>
      </c>
      <c r="G134">
        <f t="shared" si="28"/>
        <v>0</v>
      </c>
      <c r="N134">
        <v>2.59</v>
      </c>
      <c r="O134">
        <f>0.094*N134^2-0.8182*N134+1.994</f>
        <v>0.5054234</v>
      </c>
    </row>
    <row r="135" spans="1:15" ht="12.75">
      <c r="A135">
        <v>180</v>
      </c>
      <c r="B135">
        <f t="shared" si="27"/>
        <v>1.9743203041070985</v>
      </c>
      <c r="G135">
        <f t="shared" si="28"/>
        <v>0</v>
      </c>
      <c r="N135">
        <f aca="true" t="shared" si="29" ref="N135:N140">N134+0.01</f>
        <v>2.5999999999999996</v>
      </c>
      <c r="O135">
        <f aca="true" t="shared" si="30" ref="O135:O140">0.094*N135^2-0.8182*N135+1.994</f>
        <v>0.5021200000000001</v>
      </c>
    </row>
    <row r="136" spans="1:15" ht="12.75">
      <c r="A136">
        <v>210</v>
      </c>
      <c r="B136">
        <f t="shared" si="27"/>
        <v>2.284212048591025</v>
      </c>
      <c r="C136">
        <v>32532</v>
      </c>
      <c r="D136">
        <v>1821</v>
      </c>
      <c r="E136">
        <v>72</v>
      </c>
      <c r="F136">
        <v>1025</v>
      </c>
      <c r="G136">
        <f t="shared" si="28"/>
        <v>0.615533858337981</v>
      </c>
      <c r="N136" s="2">
        <f t="shared" si="29"/>
        <v>2.6099999999999994</v>
      </c>
      <c r="O136" s="2">
        <f t="shared" si="30"/>
        <v>0.49883539999999993</v>
      </c>
    </row>
    <row r="137" spans="1:15" ht="12.75">
      <c r="A137">
        <v>240</v>
      </c>
      <c r="B137">
        <f t="shared" si="27"/>
        <v>2.5941037930749524</v>
      </c>
      <c r="C137">
        <v>28137</v>
      </c>
      <c r="D137">
        <v>1896</v>
      </c>
      <c r="E137">
        <v>39</v>
      </c>
      <c r="F137">
        <v>897</v>
      </c>
      <c r="G137">
        <f t="shared" si="28"/>
        <v>0.5041091563169166</v>
      </c>
      <c r="N137">
        <f t="shared" si="29"/>
        <v>2.619999999999999</v>
      </c>
      <c r="O137">
        <f t="shared" si="30"/>
        <v>0.4955696000000003</v>
      </c>
    </row>
    <row r="138" spans="1:15" ht="12.75">
      <c r="A138">
        <v>270</v>
      </c>
      <c r="B138">
        <f t="shared" si="27"/>
        <v>2.9039955375588793</v>
      </c>
      <c r="C138">
        <v>23012</v>
      </c>
      <c r="D138">
        <v>1794</v>
      </c>
      <c r="E138">
        <v>25</v>
      </c>
      <c r="F138">
        <v>696</v>
      </c>
      <c r="G138">
        <f t="shared" si="28"/>
        <v>0.4107430033975085</v>
      </c>
      <c r="N138">
        <f t="shared" si="29"/>
        <v>2.629999999999999</v>
      </c>
      <c r="O138">
        <f t="shared" si="30"/>
        <v>0.4923226000000003</v>
      </c>
    </row>
    <row r="139" spans="1:15" ht="12.75">
      <c r="A139">
        <v>300</v>
      </c>
      <c r="B139">
        <f t="shared" si="27"/>
        <v>3.213887282042806</v>
      </c>
      <c r="G139">
        <f t="shared" si="28"/>
        <v>0</v>
      </c>
      <c r="N139">
        <f t="shared" si="29"/>
        <v>2.639999999999999</v>
      </c>
      <c r="O139">
        <f t="shared" si="30"/>
        <v>0.48909440000000015</v>
      </c>
    </row>
    <row r="140" spans="1:15" ht="12.75">
      <c r="A140">
        <v>330</v>
      </c>
      <c r="B140">
        <f t="shared" si="27"/>
        <v>3.523779026526733</v>
      </c>
      <c r="G140">
        <f t="shared" si="28"/>
        <v>0</v>
      </c>
      <c r="N140">
        <f t="shared" si="29"/>
        <v>2.6499999999999986</v>
      </c>
      <c r="O140">
        <f t="shared" si="30"/>
        <v>0.48588500000000034</v>
      </c>
    </row>
    <row r="145" spans="1:4" ht="12.75">
      <c r="A145" t="s">
        <v>32</v>
      </c>
      <c r="C145" s="3"/>
      <c r="D145" s="3"/>
    </row>
    <row r="147" spans="1:7" ht="12.75">
      <c r="A147" t="s">
        <v>0</v>
      </c>
      <c r="B147" t="s">
        <v>1</v>
      </c>
      <c r="C147" t="s">
        <v>2</v>
      </c>
      <c r="D147" t="s">
        <v>3</v>
      </c>
      <c r="E147" t="s">
        <v>4</v>
      </c>
      <c r="F147" t="s">
        <v>5</v>
      </c>
      <c r="G147" t="s">
        <v>6</v>
      </c>
    </row>
    <row r="148" spans="1:15" ht="12.75">
      <c r="A148">
        <v>85</v>
      </c>
      <c r="B148">
        <f aca="true" t="shared" si="31" ref="B148:B155">(A148-offset)/gain</f>
        <v>0.9929964465746631</v>
      </c>
      <c r="C148">
        <v>75773</v>
      </c>
      <c r="D148">
        <v>1866</v>
      </c>
      <c r="E148">
        <v>92</v>
      </c>
      <c r="F148">
        <v>1396</v>
      </c>
      <c r="G148">
        <f aca="true" t="shared" si="32" ref="G148:G155">corr40*(F148+E148)/(D148-14*2)</f>
        <v>0.8144848922742111</v>
      </c>
      <c r="N148">
        <v>2.6</v>
      </c>
      <c r="O148">
        <f>-0.0408*N148^2-0.078*N148+0.9983</f>
        <v>0.5196919999999999</v>
      </c>
    </row>
    <row r="149" spans="1:15" ht="12.75">
      <c r="A149">
        <v>150</v>
      </c>
      <c r="B149">
        <f t="shared" si="31"/>
        <v>1.6644285596231714</v>
      </c>
      <c r="G149">
        <f t="shared" si="32"/>
        <v>0</v>
      </c>
      <c r="N149">
        <f aca="true" t="shared" si="33" ref="N149:N155">N148+0.01</f>
        <v>2.61</v>
      </c>
      <c r="O149">
        <f aca="true" t="shared" si="34" ref="O149:O155">-0.0408*N149^2-0.078*N149+0.9983</f>
        <v>0.51678632</v>
      </c>
    </row>
    <row r="150" spans="1:15" ht="12.75">
      <c r="A150">
        <v>180</v>
      </c>
      <c r="B150">
        <f t="shared" si="31"/>
        <v>1.9743203041070985</v>
      </c>
      <c r="G150">
        <f t="shared" si="32"/>
        <v>0</v>
      </c>
      <c r="N150">
        <f t="shared" si="33"/>
        <v>2.6199999999999997</v>
      </c>
      <c r="O150">
        <f t="shared" si="34"/>
        <v>0.5138724800000001</v>
      </c>
    </row>
    <row r="151" spans="1:15" ht="12.75">
      <c r="A151">
        <v>210</v>
      </c>
      <c r="B151">
        <f t="shared" si="31"/>
        <v>2.284212048591025</v>
      </c>
      <c r="C151">
        <v>33414</v>
      </c>
      <c r="D151">
        <v>1815</v>
      </c>
      <c r="E151">
        <v>42</v>
      </c>
      <c r="F151">
        <v>1037</v>
      </c>
      <c r="G151">
        <f t="shared" si="32"/>
        <v>0.6074667353105764</v>
      </c>
      <c r="N151">
        <f t="shared" si="33"/>
        <v>2.6299999999999994</v>
      </c>
      <c r="O151">
        <f t="shared" si="34"/>
        <v>0.5109504800000001</v>
      </c>
    </row>
    <row r="152" spans="1:15" ht="12.75">
      <c r="A152">
        <v>240</v>
      </c>
      <c r="B152">
        <f t="shared" si="31"/>
        <v>2.5941037930749524</v>
      </c>
      <c r="C152">
        <v>28197</v>
      </c>
      <c r="D152">
        <v>1783</v>
      </c>
      <c r="E152">
        <v>30</v>
      </c>
      <c r="F152">
        <v>880</v>
      </c>
      <c r="G152">
        <f t="shared" si="32"/>
        <v>0.5216628148148149</v>
      </c>
      <c r="N152">
        <f t="shared" si="33"/>
        <v>2.6399999999999992</v>
      </c>
      <c r="O152">
        <f t="shared" si="34"/>
        <v>0.5080203200000002</v>
      </c>
    </row>
    <row r="153" spans="1:15" ht="12.75">
      <c r="A153">
        <v>270</v>
      </c>
      <c r="B153">
        <f t="shared" si="31"/>
        <v>2.9039955375588793</v>
      </c>
      <c r="C153">
        <v>23630</v>
      </c>
      <c r="D153">
        <v>1812</v>
      </c>
      <c r="E153">
        <v>45</v>
      </c>
      <c r="F153">
        <v>714</v>
      </c>
      <c r="G153">
        <f t="shared" si="32"/>
        <v>0.42802834977578474</v>
      </c>
      <c r="N153">
        <f t="shared" si="33"/>
        <v>2.649999999999999</v>
      </c>
      <c r="O153">
        <f t="shared" si="34"/>
        <v>0.5050820000000003</v>
      </c>
    </row>
    <row r="154" spans="1:15" ht="12.75">
      <c r="A154">
        <v>300</v>
      </c>
      <c r="B154">
        <f t="shared" si="31"/>
        <v>3.213887282042806</v>
      </c>
      <c r="G154">
        <f t="shared" si="32"/>
        <v>0</v>
      </c>
      <c r="N154">
        <f t="shared" si="33"/>
        <v>2.659999999999999</v>
      </c>
      <c r="O154">
        <f t="shared" si="34"/>
        <v>0.5021355200000003</v>
      </c>
    </row>
    <row r="155" spans="1:15" ht="12.75">
      <c r="A155">
        <v>330</v>
      </c>
      <c r="B155">
        <f t="shared" si="31"/>
        <v>3.523779026526733</v>
      </c>
      <c r="G155">
        <f t="shared" si="32"/>
        <v>0</v>
      </c>
      <c r="N155" s="2">
        <f t="shared" si="33"/>
        <v>2.6699999999999986</v>
      </c>
      <c r="O155" s="2">
        <f t="shared" si="34"/>
        <v>0.4991808800000003</v>
      </c>
    </row>
    <row r="159" spans="1:4" ht="12.75">
      <c r="A159" t="s">
        <v>33</v>
      </c>
      <c r="C159" s="3"/>
      <c r="D159" s="3"/>
    </row>
    <row r="161" spans="1:7" ht="12.75">
      <c r="A161" t="s">
        <v>0</v>
      </c>
      <c r="B161" t="s">
        <v>1</v>
      </c>
      <c r="C161" t="s">
        <v>2</v>
      </c>
      <c r="D161" t="s">
        <v>3</v>
      </c>
      <c r="E161" t="s">
        <v>4</v>
      </c>
      <c r="F161" t="s">
        <v>5</v>
      </c>
      <c r="G161" t="s">
        <v>6</v>
      </c>
    </row>
    <row r="162" spans="1:15" ht="12.75">
      <c r="A162">
        <v>85</v>
      </c>
      <c r="B162">
        <f aca="true" t="shared" si="35" ref="B162:B169">(A162-offset)/gain</f>
        <v>0.9929964465746631</v>
      </c>
      <c r="C162">
        <v>75607</v>
      </c>
      <c r="D162">
        <v>1887</v>
      </c>
      <c r="E162">
        <v>69</v>
      </c>
      <c r="F162">
        <v>1449</v>
      </c>
      <c r="G162">
        <f aca="true" t="shared" si="36" ref="G162:G169">corr40*(F162+E162)/(D162-14*2)</f>
        <v>0.8215197159763313</v>
      </c>
      <c r="N162">
        <v>2.7</v>
      </c>
      <c r="O162">
        <f>-0.1044*N162^2+0.234*N162+0.6398</f>
        <v>0.5105239999999999</v>
      </c>
    </row>
    <row r="163" spans="1:15" ht="12.75">
      <c r="A163">
        <v>150</v>
      </c>
      <c r="B163">
        <f t="shared" si="35"/>
        <v>1.6644285596231714</v>
      </c>
      <c r="G163">
        <f t="shared" si="36"/>
        <v>0</v>
      </c>
      <c r="N163">
        <f aca="true" t="shared" si="37" ref="N163:N168">N162+0.01</f>
        <v>2.71</v>
      </c>
      <c r="O163">
        <f aca="true" t="shared" si="38" ref="O163:O168">-0.1044*N163^2+0.234*N163+0.6398</f>
        <v>0.50721596</v>
      </c>
    </row>
    <row r="164" spans="1:15" ht="12.75">
      <c r="A164">
        <v>180</v>
      </c>
      <c r="B164">
        <f t="shared" si="35"/>
        <v>1.9743203041070985</v>
      </c>
      <c r="G164">
        <f t="shared" si="36"/>
        <v>0</v>
      </c>
      <c r="N164">
        <f t="shared" si="37"/>
        <v>2.7199999999999998</v>
      </c>
      <c r="O164">
        <f t="shared" si="38"/>
        <v>0.5038870400000001</v>
      </c>
    </row>
    <row r="165" spans="1:15" ht="12.75">
      <c r="A165">
        <v>210</v>
      </c>
      <c r="B165">
        <f t="shared" si="35"/>
        <v>2.284212048591025</v>
      </c>
      <c r="C165">
        <v>34010</v>
      </c>
      <c r="D165">
        <v>1922</v>
      </c>
      <c r="E165">
        <v>45</v>
      </c>
      <c r="F165">
        <v>1140</v>
      </c>
      <c r="G165">
        <f t="shared" si="36"/>
        <v>0.6294539809926083</v>
      </c>
      <c r="N165" s="2">
        <f t="shared" si="37"/>
        <v>2.7299999999999995</v>
      </c>
      <c r="O165" s="2">
        <f t="shared" si="38"/>
        <v>0.5005372400000001</v>
      </c>
    </row>
    <row r="166" spans="1:15" ht="12.75">
      <c r="A166">
        <v>240</v>
      </c>
      <c r="B166">
        <f t="shared" si="35"/>
        <v>2.5941037930749524</v>
      </c>
      <c r="C166">
        <v>30265</v>
      </c>
      <c r="D166">
        <v>1877</v>
      </c>
      <c r="E166">
        <v>38</v>
      </c>
      <c r="F166">
        <v>962</v>
      </c>
      <c r="G166">
        <f t="shared" si="36"/>
        <v>0.544112493239589</v>
      </c>
      <c r="N166">
        <f t="shared" si="37"/>
        <v>2.7399999999999993</v>
      </c>
      <c r="O166">
        <f t="shared" si="38"/>
        <v>0.49716656000000015</v>
      </c>
    </row>
    <row r="167" spans="1:15" ht="12.75">
      <c r="A167">
        <v>270</v>
      </c>
      <c r="B167">
        <f t="shared" si="35"/>
        <v>2.9039955375588793</v>
      </c>
      <c r="C167">
        <v>24302</v>
      </c>
      <c r="D167">
        <v>1780</v>
      </c>
      <c r="E167">
        <v>48</v>
      </c>
      <c r="F167">
        <v>716</v>
      </c>
      <c r="G167">
        <f t="shared" si="36"/>
        <v>0.43871740639269413</v>
      </c>
      <c r="N167">
        <f t="shared" si="37"/>
        <v>2.749999999999999</v>
      </c>
      <c r="O167">
        <f t="shared" si="38"/>
        <v>0.4937750000000004</v>
      </c>
    </row>
    <row r="168" spans="1:15" ht="12.75">
      <c r="A168">
        <v>300</v>
      </c>
      <c r="B168">
        <f t="shared" si="35"/>
        <v>3.213887282042806</v>
      </c>
      <c r="G168">
        <f t="shared" si="36"/>
        <v>0</v>
      </c>
      <c r="N168">
        <f t="shared" si="37"/>
        <v>2.759999999999999</v>
      </c>
      <c r="O168">
        <f t="shared" si="38"/>
        <v>0.49036256000000034</v>
      </c>
    </row>
    <row r="169" spans="1:15" ht="12.75">
      <c r="A169">
        <v>330</v>
      </c>
      <c r="B169">
        <f t="shared" si="35"/>
        <v>3.523779026526733</v>
      </c>
      <c r="G169">
        <f t="shared" si="36"/>
        <v>0</v>
      </c>
      <c r="N169" s="2"/>
      <c r="O169" s="2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8"/>
  <sheetViews>
    <sheetView workbookViewId="0" topLeftCell="A115">
      <selection activeCell="F145" sqref="F145"/>
    </sheetView>
  </sheetViews>
  <sheetFormatPr defaultColWidth="9.140625" defaultRowHeight="12.75"/>
  <cols>
    <col min="1" max="1" width="10.28125" style="0" customWidth="1"/>
  </cols>
  <sheetData>
    <row r="1" spans="1:15" ht="12.75">
      <c r="A1" t="s">
        <v>37</v>
      </c>
      <c r="F1" s="10"/>
      <c r="G1" s="10"/>
      <c r="L1" t="s">
        <v>34</v>
      </c>
      <c r="M1" t="s">
        <v>35</v>
      </c>
      <c r="N1" t="s">
        <v>18</v>
      </c>
      <c r="O1" t="s">
        <v>57</v>
      </c>
    </row>
    <row r="2" spans="7:15" ht="12.75">
      <c r="G2" t="s">
        <v>47</v>
      </c>
      <c r="L2">
        <v>20</v>
      </c>
      <c r="M2">
        <f>G10</f>
        <v>0.3417085427135678</v>
      </c>
      <c r="O2">
        <v>7.7</v>
      </c>
    </row>
    <row r="3" spans="7:15" ht="12.75">
      <c r="G3">
        <v>1</v>
      </c>
      <c r="L3">
        <v>30</v>
      </c>
      <c r="M3">
        <f>G20</f>
        <v>0.5709908069458631</v>
      </c>
      <c r="N3">
        <f>N22</f>
        <v>1.07</v>
      </c>
      <c r="O3">
        <v>9.4</v>
      </c>
    </row>
    <row r="4" spans="12:15" ht="12.75">
      <c r="L4">
        <v>40</v>
      </c>
      <c r="M4">
        <f>G31</f>
        <v>0.6903787103377687</v>
      </c>
      <c r="N4">
        <f>N33</f>
        <v>1.32</v>
      </c>
      <c r="O4">
        <v>10.5</v>
      </c>
    </row>
    <row r="5" spans="12:15" ht="12.75">
      <c r="L5">
        <v>60</v>
      </c>
      <c r="M5">
        <f>G43</f>
        <v>0.7906626506024096</v>
      </c>
      <c r="N5">
        <f>N48</f>
        <v>1.6500000000000001</v>
      </c>
      <c r="O5">
        <v>11.6</v>
      </c>
    </row>
    <row r="6" spans="12:15" ht="12.75">
      <c r="L6">
        <v>80</v>
      </c>
      <c r="M6">
        <f>G56</f>
        <v>0.7909715407262021</v>
      </c>
      <c r="N6">
        <f>N59</f>
        <v>1.8800000000000001</v>
      </c>
      <c r="O6">
        <v>12</v>
      </c>
    </row>
    <row r="7" spans="1:15" ht="12.75">
      <c r="A7" t="s">
        <v>7</v>
      </c>
      <c r="L7">
        <v>100</v>
      </c>
      <c r="M7">
        <f>G71</f>
        <v>0.8094742321707444</v>
      </c>
      <c r="N7">
        <f>N77</f>
        <v>2.01</v>
      </c>
      <c r="O7">
        <v>12.2</v>
      </c>
    </row>
    <row r="8" spans="12:15" ht="12.75">
      <c r="L8">
        <v>150</v>
      </c>
      <c r="M8">
        <f>G87</f>
        <v>0.8046836073741903</v>
      </c>
      <c r="N8">
        <f>N91</f>
        <v>2.199999999999999</v>
      </c>
      <c r="O8">
        <v>13.4</v>
      </c>
    </row>
    <row r="9" spans="1:15" ht="12.75">
      <c r="A9" t="s">
        <v>0</v>
      </c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L9">
        <v>200</v>
      </c>
      <c r="M9">
        <f>G101</f>
        <v>0.8182283666154634</v>
      </c>
      <c r="N9">
        <f>N105</f>
        <v>2.3899999999999992</v>
      </c>
      <c r="O9">
        <v>14</v>
      </c>
    </row>
    <row r="10" spans="1:15" ht="12.75">
      <c r="A10" s="10">
        <v>85</v>
      </c>
      <c r="B10">
        <f>(A10-offset)/gain</f>
        <v>0.9929964465746631</v>
      </c>
      <c r="C10">
        <v>18666</v>
      </c>
      <c r="D10">
        <v>2018</v>
      </c>
      <c r="E10">
        <v>26</v>
      </c>
      <c r="F10">
        <v>654</v>
      </c>
      <c r="G10">
        <f>(F10+E10)/(D10-14*2)</f>
        <v>0.3417085427135678</v>
      </c>
      <c r="L10">
        <v>250</v>
      </c>
      <c r="M10">
        <f>G117</f>
        <v>0.802088772845953</v>
      </c>
      <c r="N10">
        <f>N118</f>
        <v>2.46</v>
      </c>
      <c r="O10" s="4">
        <v>14.6</v>
      </c>
    </row>
    <row r="11" spans="1:15" ht="12.75">
      <c r="A11">
        <v>100</v>
      </c>
      <c r="B11">
        <f>(A11-offset)/gain</f>
        <v>1.1479423188166267</v>
      </c>
      <c r="C11">
        <v>13825</v>
      </c>
      <c r="D11">
        <v>1944</v>
      </c>
      <c r="E11">
        <v>19</v>
      </c>
      <c r="F11">
        <v>410</v>
      </c>
      <c r="G11">
        <f>(F11+E11)/(D11-14*2)</f>
        <v>0.22390396659707723</v>
      </c>
      <c r="L11">
        <v>300</v>
      </c>
      <c r="M11">
        <f>G132</f>
        <v>0.8024502297090352</v>
      </c>
      <c r="N11">
        <f>N134</f>
        <v>2.5599999999999996</v>
      </c>
      <c r="O11" s="4">
        <v>15</v>
      </c>
    </row>
    <row r="12" spans="1:15" ht="12.75">
      <c r="A12">
        <v>120</v>
      </c>
      <c r="B12">
        <f>(A12-offset)/gain</f>
        <v>1.3545368151392445</v>
      </c>
      <c r="C12">
        <v>9935</v>
      </c>
      <c r="D12">
        <v>1999</v>
      </c>
      <c r="E12">
        <v>19</v>
      </c>
      <c r="F12">
        <v>232</v>
      </c>
      <c r="G12">
        <f>(F12+E12)/(D12-14*2)</f>
        <v>0.12734652460679857</v>
      </c>
      <c r="L12">
        <v>350</v>
      </c>
      <c r="M12">
        <f>G147</f>
        <v>0.7991313789359392</v>
      </c>
      <c r="N12">
        <f>N150</f>
        <v>2.5299999999999994</v>
      </c>
      <c r="O12" s="4">
        <v>15.7</v>
      </c>
    </row>
    <row r="13" spans="12:15" ht="12.75">
      <c r="L13">
        <v>400</v>
      </c>
      <c r="M13">
        <f>G161</f>
        <v>0.8122724908996359</v>
      </c>
      <c r="N13">
        <f>N166</f>
        <v>2.6399999999999992</v>
      </c>
      <c r="O13" s="4">
        <v>16</v>
      </c>
    </row>
    <row r="17" ht="12.75">
      <c r="A17" t="s">
        <v>8</v>
      </c>
    </row>
    <row r="19" spans="1:15" ht="12.75">
      <c r="A19" t="s">
        <v>0</v>
      </c>
      <c r="B19" t="s">
        <v>1</v>
      </c>
      <c r="C19" t="s">
        <v>2</v>
      </c>
      <c r="D19" t="s">
        <v>3</v>
      </c>
      <c r="E19" t="s">
        <v>4</v>
      </c>
      <c r="F19" t="s">
        <v>5</v>
      </c>
      <c r="G19" t="s">
        <v>6</v>
      </c>
      <c r="N19">
        <v>1.04</v>
      </c>
      <c r="O19">
        <f>-0.2041*N19^3+1.2421*N19^2-2.8251*N19+2.3513</f>
        <v>0.5270666176000003</v>
      </c>
    </row>
    <row r="20" spans="1:15" ht="12.75">
      <c r="A20" s="10">
        <v>85</v>
      </c>
      <c r="B20">
        <f>(A20-offset)/gain</f>
        <v>0.9929964465746631</v>
      </c>
      <c r="C20">
        <v>28607</v>
      </c>
      <c r="D20">
        <v>1986</v>
      </c>
      <c r="E20">
        <v>33</v>
      </c>
      <c r="F20">
        <v>1085</v>
      </c>
      <c r="G20">
        <f>(F20+E20)/(D20-14*2)</f>
        <v>0.5709908069458631</v>
      </c>
      <c r="N20">
        <f aca="true" t="shared" si="0" ref="N20:N25">N19+0.01</f>
        <v>1.05</v>
      </c>
      <c r="O20">
        <f aca="true" t="shared" si="1" ref="O20:O25">-0.2041*N20^3+1.2421*N20^2-2.8251*N20+2.3513</f>
        <v>0.5180889875000001</v>
      </c>
    </row>
    <row r="21" spans="1:15" ht="12.75">
      <c r="A21" s="10">
        <v>100</v>
      </c>
      <c r="B21">
        <f>(A21-offset)/gain</f>
        <v>1.1479423188166267</v>
      </c>
      <c r="C21">
        <v>23369</v>
      </c>
      <c r="D21">
        <v>1852</v>
      </c>
      <c r="E21">
        <v>29</v>
      </c>
      <c r="F21">
        <v>767</v>
      </c>
      <c r="G21">
        <f>(F21+E21)/(D21-14*2)</f>
        <v>0.43640350877192985</v>
      </c>
      <c r="N21">
        <f t="shared" si="0"/>
        <v>1.06</v>
      </c>
      <c r="O21">
        <f t="shared" si="1"/>
        <v>0.5092311944000003</v>
      </c>
    </row>
    <row r="22" spans="1:15" ht="12.75">
      <c r="A22">
        <v>120</v>
      </c>
      <c r="B22">
        <f>(A22-offset)/gain</f>
        <v>1.3545368151392445</v>
      </c>
      <c r="C22">
        <v>17195</v>
      </c>
      <c r="D22">
        <v>1998</v>
      </c>
      <c r="E22">
        <v>25</v>
      </c>
      <c r="F22">
        <v>559</v>
      </c>
      <c r="G22">
        <f>(F22+E22)/(D22-14*2)</f>
        <v>0.29644670050761424</v>
      </c>
      <c r="N22" s="2">
        <f t="shared" si="0"/>
        <v>1.07</v>
      </c>
      <c r="O22" s="2">
        <f t="shared" si="1"/>
        <v>0.5004920137</v>
      </c>
    </row>
    <row r="23" spans="1:15" ht="12.75">
      <c r="A23">
        <v>150</v>
      </c>
      <c r="B23">
        <f>(A23-offset)/gain</f>
        <v>1.6644285596231714</v>
      </c>
      <c r="C23">
        <v>11057</v>
      </c>
      <c r="D23">
        <v>1985</v>
      </c>
      <c r="E23">
        <v>13</v>
      </c>
      <c r="F23">
        <v>279</v>
      </c>
      <c r="G23">
        <f>(F23+E23)/(D23-14*2)</f>
        <v>0.1492079713847726</v>
      </c>
      <c r="N23">
        <f t="shared" si="0"/>
        <v>1.08</v>
      </c>
      <c r="O23">
        <f t="shared" si="1"/>
        <v>0.4918702208000001</v>
      </c>
    </row>
    <row r="24" spans="14:15" ht="12.75">
      <c r="N24">
        <f t="shared" si="0"/>
        <v>1.09</v>
      </c>
      <c r="O24">
        <f t="shared" si="1"/>
        <v>0.48336459109999996</v>
      </c>
    </row>
    <row r="25" spans="14:15" ht="12.75">
      <c r="N25">
        <f t="shared" si="0"/>
        <v>1.1</v>
      </c>
      <c r="O25">
        <f t="shared" si="1"/>
        <v>0.47497390000000017</v>
      </c>
    </row>
    <row r="28" ht="12.75">
      <c r="A28" t="s">
        <v>9</v>
      </c>
    </row>
    <row r="30" spans="1:7" ht="12.75">
      <c r="A30" t="s">
        <v>0</v>
      </c>
      <c r="B30" t="s">
        <v>1</v>
      </c>
      <c r="C30" t="s">
        <v>2</v>
      </c>
      <c r="D30" t="s">
        <v>3</v>
      </c>
      <c r="E30" t="s">
        <v>4</v>
      </c>
      <c r="F30" t="s">
        <v>5</v>
      </c>
      <c r="G30" t="s">
        <v>6</v>
      </c>
    </row>
    <row r="31" spans="1:15" ht="12.75">
      <c r="A31">
        <v>85</v>
      </c>
      <c r="B31">
        <f>(A31-offset)/gain</f>
        <v>0.9929964465746631</v>
      </c>
      <c r="C31">
        <v>37980</v>
      </c>
      <c r="D31">
        <v>1982</v>
      </c>
      <c r="E31">
        <v>49</v>
      </c>
      <c r="F31">
        <v>1300</v>
      </c>
      <c r="G31">
        <f>(F31+E31)/(D31-14*2)</f>
        <v>0.6903787103377687</v>
      </c>
      <c r="N31">
        <v>1.3</v>
      </c>
      <c r="O31">
        <f>0.7015*N31^3-2.9564*N31^2+3.4094*N31-0.4642</f>
        <v>0.5128995000000005</v>
      </c>
    </row>
    <row r="32" spans="1:15" ht="12.75">
      <c r="A32" s="1">
        <v>100</v>
      </c>
      <c r="B32">
        <f>(A32-offset)/gain</f>
        <v>1.1479423188166267</v>
      </c>
      <c r="C32">
        <v>32513</v>
      </c>
      <c r="D32">
        <v>2016</v>
      </c>
      <c r="E32">
        <v>38</v>
      </c>
      <c r="F32">
        <v>1198</v>
      </c>
      <c r="G32">
        <f>(F32+E32)/(D32-14*2)</f>
        <v>0.6217303822937625</v>
      </c>
      <c r="N32">
        <f aca="true" t="shared" si="2" ref="N32:N37">N31+0.01</f>
        <v>1.31</v>
      </c>
      <c r="O32">
        <f aca="true" t="shared" si="3" ref="O32:O37">0.7015*N32^3-2.9564*N32^2+3.4094*N32-0.4642</f>
        <v>0.5056717965000006</v>
      </c>
    </row>
    <row r="33" spans="1:15" ht="12.75">
      <c r="A33">
        <v>120</v>
      </c>
      <c r="B33">
        <f>(A33-offset)/gain</f>
        <v>1.3545368151392445</v>
      </c>
      <c r="C33" s="1">
        <v>25841</v>
      </c>
      <c r="D33" s="1">
        <v>1969</v>
      </c>
      <c r="E33" s="1">
        <v>30</v>
      </c>
      <c r="F33" s="1">
        <v>875</v>
      </c>
      <c r="G33">
        <f>(F33+E33)/(D33-14*2)</f>
        <v>0.46625450798557444</v>
      </c>
      <c r="N33" s="2">
        <f t="shared" si="2"/>
        <v>1.32</v>
      </c>
      <c r="O33" s="2">
        <f t="shared" si="3"/>
        <v>0.4984041919999997</v>
      </c>
    </row>
    <row r="34" spans="1:15" ht="12.75">
      <c r="A34">
        <v>150</v>
      </c>
      <c r="B34">
        <f>(A34-offset)/gain</f>
        <v>1.6644285596231714</v>
      </c>
      <c r="C34" s="1">
        <v>17562</v>
      </c>
      <c r="D34" s="1">
        <v>2059</v>
      </c>
      <c r="E34" s="1">
        <v>18</v>
      </c>
      <c r="F34" s="1">
        <v>505</v>
      </c>
      <c r="G34">
        <f>(F34+E34)/(D34-14*2)</f>
        <v>0.2575086164451009</v>
      </c>
      <c r="N34">
        <f t="shared" si="2"/>
        <v>1.33</v>
      </c>
      <c r="O34">
        <f t="shared" si="3"/>
        <v>0.49110089550000063</v>
      </c>
    </row>
    <row r="35" spans="1:15" ht="12.75">
      <c r="A35">
        <v>180</v>
      </c>
      <c r="B35">
        <f>(A35-offset)/gain</f>
        <v>1.9743203041070985</v>
      </c>
      <c r="C35" s="1">
        <v>12110</v>
      </c>
      <c r="D35" s="1">
        <v>2053</v>
      </c>
      <c r="E35" s="1">
        <v>12</v>
      </c>
      <c r="F35" s="1">
        <v>273</v>
      </c>
      <c r="G35">
        <f>(F35+E35)/(D35-14*2)</f>
        <v>0.14074074074074075</v>
      </c>
      <c r="N35">
        <f t="shared" si="2"/>
        <v>1.34</v>
      </c>
      <c r="O35">
        <f t="shared" si="3"/>
        <v>0.48376611600000036</v>
      </c>
    </row>
    <row r="36" spans="14:15" ht="12.75">
      <c r="N36">
        <f t="shared" si="2"/>
        <v>1.35</v>
      </c>
      <c r="O36">
        <f t="shared" si="3"/>
        <v>0.4764040625000003</v>
      </c>
    </row>
    <row r="37" spans="14:15" ht="12.75">
      <c r="N37">
        <f t="shared" si="2"/>
        <v>1.36</v>
      </c>
      <c r="O37">
        <f t="shared" si="3"/>
        <v>0.4690189440000005</v>
      </c>
    </row>
    <row r="40" ht="12.75">
      <c r="A40" t="s">
        <v>10</v>
      </c>
    </row>
    <row r="42" spans="1:7" ht="12.75">
      <c r="A42" t="s">
        <v>0</v>
      </c>
      <c r="B42" t="s">
        <v>1</v>
      </c>
      <c r="C42" t="s">
        <v>2</v>
      </c>
      <c r="D42" t="s">
        <v>3</v>
      </c>
      <c r="E42" t="s">
        <v>4</v>
      </c>
      <c r="F42" t="s">
        <v>5</v>
      </c>
      <c r="G42" t="s">
        <v>6</v>
      </c>
    </row>
    <row r="43" spans="1:15" ht="12.75">
      <c r="A43">
        <v>85</v>
      </c>
      <c r="B43">
        <f aca="true" t="shared" si="4" ref="B43:B49">(A43-offset)/gain</f>
        <v>0.9929964465746631</v>
      </c>
      <c r="C43">
        <v>54875</v>
      </c>
      <c r="D43">
        <v>2020</v>
      </c>
      <c r="E43">
        <v>66</v>
      </c>
      <c r="F43">
        <v>1509</v>
      </c>
      <c r="G43">
        <f aca="true" t="shared" si="5" ref="G43:G49">(F43+E43)/(D43-14*2)</f>
        <v>0.7906626506024096</v>
      </c>
      <c r="N43">
        <v>1.6</v>
      </c>
      <c r="O43">
        <f>0.2142*N43^3-1.1034*N43^2+1.3389*N43+0.3347</f>
        <v>0.5295991999999998</v>
      </c>
    </row>
    <row r="44" spans="1:15" ht="12.75">
      <c r="A44" s="1">
        <v>100</v>
      </c>
      <c r="B44">
        <f t="shared" si="4"/>
        <v>1.1479423188166267</v>
      </c>
      <c r="C44">
        <v>47356</v>
      </c>
      <c r="D44">
        <v>1935</v>
      </c>
      <c r="E44">
        <v>54</v>
      </c>
      <c r="F44">
        <v>1338</v>
      </c>
      <c r="G44">
        <f t="shared" si="5"/>
        <v>0.7299423177766124</v>
      </c>
      <c r="N44">
        <f aca="true" t="shared" si="6" ref="N44:N50">N43+0.01</f>
        <v>1.61</v>
      </c>
      <c r="O44">
        <f aca="true" t="shared" si="7" ref="O44:O50">0.2142*N44^3-1.1034*N44^2+1.3389*N44+0.3347</f>
        <v>0.5241226502000003</v>
      </c>
    </row>
    <row r="45" spans="1:15" ht="12.75">
      <c r="A45">
        <v>120</v>
      </c>
      <c r="B45">
        <f t="shared" si="4"/>
        <v>1.3545368151392445</v>
      </c>
      <c r="C45">
        <v>38415</v>
      </c>
      <c r="D45">
        <v>1928</v>
      </c>
      <c r="E45">
        <v>42</v>
      </c>
      <c r="F45">
        <v>1224</v>
      </c>
      <c r="G45">
        <f t="shared" si="5"/>
        <v>0.6663157894736842</v>
      </c>
      <c r="N45">
        <f t="shared" si="6"/>
        <v>1.62</v>
      </c>
      <c r="O45">
        <f t="shared" si="7"/>
        <v>0.5186323375999999</v>
      </c>
    </row>
    <row r="46" spans="1:15" ht="12.75">
      <c r="A46">
        <v>150</v>
      </c>
      <c r="B46">
        <f t="shared" si="4"/>
        <v>1.6644285596231714</v>
      </c>
      <c r="C46">
        <v>27769</v>
      </c>
      <c r="D46">
        <v>1924</v>
      </c>
      <c r="E46">
        <v>36</v>
      </c>
      <c r="F46">
        <v>892</v>
      </c>
      <c r="G46">
        <f t="shared" si="5"/>
        <v>0.48945147679324896</v>
      </c>
      <c r="N46">
        <f t="shared" si="6"/>
        <v>1.6300000000000001</v>
      </c>
      <c r="O46">
        <f t="shared" si="7"/>
        <v>0.5131295473999999</v>
      </c>
    </row>
    <row r="47" spans="1:15" ht="12.75">
      <c r="A47">
        <v>180</v>
      </c>
      <c r="B47">
        <f t="shared" si="4"/>
        <v>1.9743203041070985</v>
      </c>
      <c r="C47">
        <v>20845</v>
      </c>
      <c r="D47">
        <v>2017</v>
      </c>
      <c r="E47">
        <v>20</v>
      </c>
      <c r="F47">
        <v>634</v>
      </c>
      <c r="G47">
        <f t="shared" si="5"/>
        <v>0.3288084464555053</v>
      </c>
      <c r="N47">
        <f t="shared" si="6"/>
        <v>1.6400000000000001</v>
      </c>
      <c r="O47">
        <f t="shared" si="7"/>
        <v>0.5076155647999998</v>
      </c>
    </row>
    <row r="48" spans="1:15" ht="12.75">
      <c r="A48">
        <v>210</v>
      </c>
      <c r="B48">
        <f t="shared" si="4"/>
        <v>2.284212048591025</v>
      </c>
      <c r="C48">
        <v>15263</v>
      </c>
      <c r="D48">
        <v>2019</v>
      </c>
      <c r="E48">
        <v>13</v>
      </c>
      <c r="F48">
        <v>359</v>
      </c>
      <c r="G48">
        <f t="shared" si="5"/>
        <v>0.1868407835258664</v>
      </c>
      <c r="N48" s="2">
        <f t="shared" si="6"/>
        <v>1.6500000000000001</v>
      </c>
      <c r="O48" s="2">
        <f t="shared" si="7"/>
        <v>0.5020916750000002</v>
      </c>
    </row>
    <row r="49" spans="1:15" ht="12.75">
      <c r="A49">
        <v>240</v>
      </c>
      <c r="B49">
        <f t="shared" si="4"/>
        <v>2.5941037930749524</v>
      </c>
      <c r="C49">
        <v>11156</v>
      </c>
      <c r="D49">
        <v>1979</v>
      </c>
      <c r="E49">
        <v>12</v>
      </c>
      <c r="F49">
        <v>228</v>
      </c>
      <c r="G49">
        <f t="shared" si="5"/>
        <v>0.1230138390568939</v>
      </c>
      <c r="N49">
        <f t="shared" si="6"/>
        <v>1.6600000000000001</v>
      </c>
      <c r="O49">
        <f t="shared" si="7"/>
        <v>0.4965591632000004</v>
      </c>
    </row>
    <row r="50" spans="14:15" ht="12.75">
      <c r="N50">
        <f t="shared" si="6"/>
        <v>1.6700000000000002</v>
      </c>
      <c r="O50">
        <f t="shared" si="7"/>
        <v>0.49101931460000015</v>
      </c>
    </row>
    <row r="53" ht="12.75">
      <c r="A53" t="s">
        <v>11</v>
      </c>
    </row>
    <row r="55" spans="1:7" ht="12.75">
      <c r="A55" t="s">
        <v>0</v>
      </c>
      <c r="B55" t="s">
        <v>1</v>
      </c>
      <c r="C55" t="s">
        <v>2</v>
      </c>
      <c r="D55" t="s">
        <v>3</v>
      </c>
      <c r="E55" t="s">
        <v>4</v>
      </c>
      <c r="F55" t="s">
        <v>5</v>
      </c>
      <c r="G55" t="s">
        <v>6</v>
      </c>
    </row>
    <row r="56" spans="1:15" ht="12.75">
      <c r="A56" s="11">
        <v>85</v>
      </c>
      <c r="B56" s="11">
        <f aca="true" t="shared" si="8" ref="B56:B63">(A56-offset)/gain</f>
        <v>0.9929964465746631</v>
      </c>
      <c r="C56" s="11">
        <v>62891</v>
      </c>
      <c r="D56" s="11">
        <v>2066</v>
      </c>
      <c r="E56" s="11">
        <v>58</v>
      </c>
      <c r="F56" s="11">
        <v>1554</v>
      </c>
      <c r="G56" s="11">
        <f aca="true" t="shared" si="9" ref="G56:G63">(F56+E56)/(D56-14*2)</f>
        <v>0.7909715407262021</v>
      </c>
      <c r="N56">
        <v>1.85</v>
      </c>
      <c r="O56">
        <f>0.1654*N56^3-0.9682*N56^2+1.3946*N56+0.1996</f>
        <v>0.5131962749999996</v>
      </c>
    </row>
    <row r="57" spans="1:15" ht="12.75">
      <c r="A57" s="1">
        <v>100</v>
      </c>
      <c r="B57">
        <f t="shared" si="8"/>
        <v>1.1479423188166267</v>
      </c>
      <c r="C57">
        <v>54592</v>
      </c>
      <c r="D57">
        <v>1990</v>
      </c>
      <c r="E57">
        <v>66</v>
      </c>
      <c r="F57">
        <v>1452</v>
      </c>
      <c r="G57">
        <f t="shared" si="9"/>
        <v>0.7737003058103975</v>
      </c>
      <c r="N57">
        <f aca="true" t="shared" si="10" ref="N57:N63">N56+0.01</f>
        <v>1.86</v>
      </c>
      <c r="O57">
        <f aca="true" t="shared" si="11" ref="O57:O63">0.1654*N57^3-0.9682*N57^2+1.3946*N57+0.1996</f>
        <v>0.5082964624000004</v>
      </c>
    </row>
    <row r="58" spans="1:15" ht="12.75">
      <c r="A58">
        <v>120</v>
      </c>
      <c r="B58">
        <f t="shared" si="8"/>
        <v>1.3545368151392445</v>
      </c>
      <c r="C58">
        <v>44851</v>
      </c>
      <c r="D58">
        <v>1916</v>
      </c>
      <c r="E58">
        <v>55</v>
      </c>
      <c r="F58">
        <v>1314</v>
      </c>
      <c r="G58">
        <f t="shared" si="9"/>
        <v>0.7251059322033898</v>
      </c>
      <c r="N58">
        <f t="shared" si="10"/>
        <v>1.87</v>
      </c>
      <c r="O58">
        <f t="shared" si="11"/>
        <v>0.5033875961999998</v>
      </c>
    </row>
    <row r="59" spans="1:15" ht="12.75">
      <c r="A59">
        <v>150</v>
      </c>
      <c r="B59">
        <f t="shared" si="8"/>
        <v>1.6644285596231714</v>
      </c>
      <c r="C59">
        <v>34354</v>
      </c>
      <c r="D59">
        <v>1946</v>
      </c>
      <c r="E59">
        <v>43</v>
      </c>
      <c r="F59">
        <v>1117</v>
      </c>
      <c r="G59">
        <f t="shared" si="9"/>
        <v>0.6047966631908238</v>
      </c>
      <c r="N59" s="2">
        <f t="shared" si="10"/>
        <v>1.8800000000000001</v>
      </c>
      <c r="O59" s="2">
        <f t="shared" si="11"/>
        <v>0.4984706687999998</v>
      </c>
    </row>
    <row r="60" spans="1:15" ht="12.75">
      <c r="A60">
        <v>180</v>
      </c>
      <c r="B60">
        <f t="shared" si="8"/>
        <v>1.9743203041070985</v>
      </c>
      <c r="C60">
        <v>26349</v>
      </c>
      <c r="D60">
        <v>2001</v>
      </c>
      <c r="E60">
        <v>33</v>
      </c>
      <c r="F60">
        <v>853</v>
      </c>
      <c r="G60">
        <f t="shared" si="9"/>
        <v>0.44906234161175873</v>
      </c>
      <c r="N60">
        <f t="shared" si="10"/>
        <v>1.8900000000000001</v>
      </c>
      <c r="O60">
        <f t="shared" si="11"/>
        <v>0.4935466726000002</v>
      </c>
    </row>
    <row r="61" spans="1:15" ht="12.75">
      <c r="A61">
        <v>210</v>
      </c>
      <c r="B61">
        <f t="shared" si="8"/>
        <v>2.284212048591025</v>
      </c>
      <c r="C61">
        <v>20303</v>
      </c>
      <c r="D61">
        <v>2067</v>
      </c>
      <c r="E61">
        <v>26</v>
      </c>
      <c r="F61">
        <v>574</v>
      </c>
      <c r="G61">
        <f t="shared" si="9"/>
        <v>0.2942618930848455</v>
      </c>
      <c r="N61">
        <f t="shared" si="10"/>
        <v>1.9000000000000001</v>
      </c>
      <c r="O61">
        <f t="shared" si="11"/>
        <v>0.4886166000000005</v>
      </c>
    </row>
    <row r="62" spans="1:15" ht="12.75">
      <c r="A62">
        <v>240</v>
      </c>
      <c r="B62">
        <f t="shared" si="8"/>
        <v>2.5941037930749524</v>
      </c>
      <c r="C62">
        <v>15102</v>
      </c>
      <c r="D62">
        <v>1902</v>
      </c>
      <c r="E62">
        <v>13</v>
      </c>
      <c r="F62">
        <v>364</v>
      </c>
      <c r="G62">
        <f t="shared" si="9"/>
        <v>0.20117395944503735</v>
      </c>
      <c r="N62">
        <f t="shared" si="10"/>
        <v>1.9100000000000001</v>
      </c>
      <c r="O62">
        <f t="shared" si="11"/>
        <v>0.48368144339999986</v>
      </c>
    </row>
    <row r="63" spans="1:15" ht="12.75">
      <c r="A63">
        <v>270</v>
      </c>
      <c r="B63">
        <f t="shared" si="8"/>
        <v>2.9039955375588793</v>
      </c>
      <c r="C63">
        <v>11680</v>
      </c>
      <c r="D63">
        <v>2021</v>
      </c>
      <c r="E63">
        <v>11</v>
      </c>
      <c r="F63">
        <v>248</v>
      </c>
      <c r="G63">
        <f t="shared" si="9"/>
        <v>0.12995484194681384</v>
      </c>
      <c r="N63">
        <f t="shared" si="10"/>
        <v>1.9200000000000002</v>
      </c>
      <c r="O63">
        <f t="shared" si="11"/>
        <v>0.47874219519999994</v>
      </c>
    </row>
    <row r="68" spans="1:4" ht="12.75">
      <c r="A68" t="s">
        <v>13</v>
      </c>
      <c r="C68" s="3"/>
      <c r="D68" s="3"/>
    </row>
    <row r="70" spans="1:7" ht="12.75">
      <c r="A70" t="s">
        <v>0</v>
      </c>
      <c r="B70" t="s">
        <v>1</v>
      </c>
      <c r="C70" t="s">
        <v>2</v>
      </c>
      <c r="D70" t="s">
        <v>3</v>
      </c>
      <c r="E70" t="s">
        <v>4</v>
      </c>
      <c r="F70" t="s">
        <v>5</v>
      </c>
      <c r="G70" t="s">
        <v>6</v>
      </c>
    </row>
    <row r="71" spans="1:15" ht="12.75">
      <c r="A71" s="10">
        <v>85</v>
      </c>
      <c r="B71" s="10">
        <f aca="true" t="shared" si="12" ref="B71:B79">(A71-offset)/gain</f>
        <v>0.9929964465746631</v>
      </c>
      <c r="C71">
        <v>66813</v>
      </c>
      <c r="D71">
        <v>1949</v>
      </c>
      <c r="E71">
        <v>67</v>
      </c>
      <c r="F71">
        <v>1488</v>
      </c>
      <c r="G71">
        <f>(F71+E71)/(D71-14*2)</f>
        <v>0.8094742321707444</v>
      </c>
      <c r="N71">
        <v>1.95</v>
      </c>
      <c r="O71">
        <f>0.0911*N71^3-0.5679*N71^2+0.7611*N71+0.5228</f>
        <v>0.5230003625000003</v>
      </c>
    </row>
    <row r="72" spans="1:15" ht="12.75">
      <c r="A72" s="1">
        <v>100</v>
      </c>
      <c r="B72">
        <f t="shared" si="12"/>
        <v>1.1479423188166267</v>
      </c>
      <c r="C72">
        <v>58295</v>
      </c>
      <c r="D72">
        <v>1941</v>
      </c>
      <c r="E72">
        <v>61</v>
      </c>
      <c r="F72">
        <v>1433</v>
      </c>
      <c r="G72">
        <f aca="true" t="shared" si="13" ref="G72:G79">(F72+E72)/(D72-14*2)</f>
        <v>0.7809722948248824</v>
      </c>
      <c r="N72">
        <f aca="true" t="shared" si="14" ref="N72:N79">N71+0.01</f>
        <v>1.96</v>
      </c>
      <c r="O72">
        <f aca="true" t="shared" si="15" ref="O72:O79">0.0911*N72^3-0.5679*N72^2+0.7611*N72+0.5228</f>
        <v>0.5188520896000003</v>
      </c>
    </row>
    <row r="73" spans="1:15" ht="12.75">
      <c r="A73">
        <v>120</v>
      </c>
      <c r="B73">
        <f t="shared" si="12"/>
        <v>1.3545368151392445</v>
      </c>
      <c r="C73">
        <v>49746</v>
      </c>
      <c r="D73">
        <v>1991</v>
      </c>
      <c r="E73">
        <v>59</v>
      </c>
      <c r="F73">
        <v>1401</v>
      </c>
      <c r="G73">
        <f t="shared" si="13"/>
        <v>0.7437595517065716</v>
      </c>
      <c r="N73">
        <f t="shared" si="14"/>
        <v>1.97</v>
      </c>
      <c r="O73">
        <f t="shared" si="15"/>
        <v>0.5146973703000003</v>
      </c>
    </row>
    <row r="74" spans="1:15" ht="12.75">
      <c r="A74">
        <v>150</v>
      </c>
      <c r="B74">
        <f t="shared" si="12"/>
        <v>1.6644285596231714</v>
      </c>
      <c r="C74">
        <v>37819</v>
      </c>
      <c r="D74">
        <v>1918</v>
      </c>
      <c r="E74">
        <v>52</v>
      </c>
      <c r="F74">
        <v>1143</v>
      </c>
      <c r="G74">
        <f t="shared" si="13"/>
        <v>0.6322751322751323</v>
      </c>
      <c r="N74">
        <f t="shared" si="14"/>
        <v>1.98</v>
      </c>
      <c r="O74">
        <f t="shared" si="15"/>
        <v>0.5105367512000002</v>
      </c>
    </row>
    <row r="75" spans="1:15" ht="12.75">
      <c r="A75">
        <v>180</v>
      </c>
      <c r="B75">
        <f t="shared" si="12"/>
        <v>1.9743203041070985</v>
      </c>
      <c r="C75">
        <v>29990</v>
      </c>
      <c r="D75">
        <v>1997</v>
      </c>
      <c r="E75">
        <v>41</v>
      </c>
      <c r="F75">
        <v>978</v>
      </c>
      <c r="G75">
        <f t="shared" si="13"/>
        <v>0.5175215845606908</v>
      </c>
      <c r="N75">
        <f t="shared" si="14"/>
        <v>1.99</v>
      </c>
      <c r="O75">
        <f t="shared" si="15"/>
        <v>0.5063707789000004</v>
      </c>
    </row>
    <row r="76" spans="1:15" ht="12.75">
      <c r="A76">
        <v>210</v>
      </c>
      <c r="B76">
        <f t="shared" si="12"/>
        <v>2.284212048591025</v>
      </c>
      <c r="C76">
        <v>23583</v>
      </c>
      <c r="D76">
        <v>1970</v>
      </c>
      <c r="E76">
        <v>23</v>
      </c>
      <c r="F76">
        <v>716</v>
      </c>
      <c r="G76">
        <f t="shared" si="13"/>
        <v>0.3805355303810505</v>
      </c>
      <c r="N76">
        <f t="shared" si="14"/>
        <v>2</v>
      </c>
      <c r="O76">
        <f t="shared" si="15"/>
        <v>0.5022000000000003</v>
      </c>
    </row>
    <row r="77" spans="1:15" ht="12.75">
      <c r="A77">
        <v>240</v>
      </c>
      <c r="B77">
        <f t="shared" si="12"/>
        <v>2.5941037930749524</v>
      </c>
      <c r="C77">
        <v>18117</v>
      </c>
      <c r="D77">
        <v>2014</v>
      </c>
      <c r="E77">
        <v>18</v>
      </c>
      <c r="F77">
        <v>515</v>
      </c>
      <c r="G77">
        <f t="shared" si="13"/>
        <v>0.26837865055387716</v>
      </c>
      <c r="N77" s="2">
        <f t="shared" si="14"/>
        <v>2.01</v>
      </c>
      <c r="O77" s="2">
        <f t="shared" si="15"/>
        <v>0.49802496110000016</v>
      </c>
    </row>
    <row r="78" spans="1:15" ht="12.75">
      <c r="A78">
        <v>270</v>
      </c>
      <c r="B78">
        <f t="shared" si="12"/>
        <v>2.9039955375588793</v>
      </c>
      <c r="C78">
        <v>14133</v>
      </c>
      <c r="D78">
        <v>1978</v>
      </c>
      <c r="E78">
        <v>18</v>
      </c>
      <c r="F78">
        <v>325</v>
      </c>
      <c r="G78">
        <f t="shared" si="13"/>
        <v>0.1758974358974359</v>
      </c>
      <c r="N78">
        <f t="shared" si="14"/>
        <v>2.0199999999999996</v>
      </c>
      <c r="O78">
        <f t="shared" si="15"/>
        <v>0.4938462088000001</v>
      </c>
    </row>
    <row r="79" spans="1:15" ht="12.75">
      <c r="A79">
        <v>300</v>
      </c>
      <c r="B79">
        <f t="shared" si="12"/>
        <v>3.213887282042806</v>
      </c>
      <c r="C79">
        <v>11150</v>
      </c>
      <c r="D79">
        <v>1942</v>
      </c>
      <c r="E79">
        <v>10</v>
      </c>
      <c r="F79">
        <v>236</v>
      </c>
      <c r="G79">
        <f t="shared" si="13"/>
        <v>0.12852664576802508</v>
      </c>
      <c r="N79">
        <f t="shared" si="14"/>
        <v>2.0299999999999994</v>
      </c>
      <c r="O79">
        <f t="shared" si="15"/>
        <v>0.48966428970000064</v>
      </c>
    </row>
    <row r="84" spans="1:4" ht="12.75">
      <c r="A84" t="s">
        <v>26</v>
      </c>
      <c r="C84" s="3"/>
      <c r="D84" s="3"/>
    </row>
    <row r="86" spans="1:15" ht="12.75">
      <c r="A86" t="s">
        <v>0</v>
      </c>
      <c r="B86" t="s">
        <v>1</v>
      </c>
      <c r="C86" t="s">
        <v>2</v>
      </c>
      <c r="D86" t="s">
        <v>3</v>
      </c>
      <c r="E86" t="s">
        <v>4</v>
      </c>
      <c r="F86" t="s">
        <v>5</v>
      </c>
      <c r="G86" t="s">
        <v>6</v>
      </c>
      <c r="N86">
        <v>2.15</v>
      </c>
      <c r="O86">
        <f>0.0868*N86^3-0.5843*N86^2+0.9158*N86+0.3898</f>
        <v>0.5204941999999999</v>
      </c>
    </row>
    <row r="87" spans="1:15" ht="12.75">
      <c r="A87">
        <v>85</v>
      </c>
      <c r="B87">
        <f aca="true" t="shared" si="16" ref="B87:B94">(A87-offset)/gain</f>
        <v>0.9929964465746631</v>
      </c>
      <c r="C87">
        <v>73092</v>
      </c>
      <c r="D87">
        <v>2035</v>
      </c>
      <c r="E87">
        <v>56</v>
      </c>
      <c r="F87">
        <v>1559</v>
      </c>
      <c r="G87">
        <f aca="true" t="shared" si="17" ref="G87:G94">(F87+E87)/(D87-14*2)</f>
        <v>0.8046836073741903</v>
      </c>
      <c r="N87">
        <f aca="true" t="shared" si="18" ref="N87:N94">N86+0.01</f>
        <v>2.1599999999999997</v>
      </c>
      <c r="O87">
        <f aca="true" t="shared" si="19" ref="O87:O94">0.0868*N87^3-0.5843*N87^2+0.9158*N87+0.3898</f>
        <v>0.5165619328</v>
      </c>
    </row>
    <row r="88" spans="1:15" ht="12.75">
      <c r="A88">
        <v>120</v>
      </c>
      <c r="B88">
        <f t="shared" si="16"/>
        <v>1.3545368151392445</v>
      </c>
      <c r="C88">
        <v>54479</v>
      </c>
      <c r="D88">
        <v>1960</v>
      </c>
      <c r="E88">
        <v>57</v>
      </c>
      <c r="F88">
        <v>1456</v>
      </c>
      <c r="G88">
        <f t="shared" si="17"/>
        <v>0.7831262939958592</v>
      </c>
      <c r="N88">
        <f t="shared" si="18"/>
        <v>2.1699999999999995</v>
      </c>
      <c r="O88">
        <f t="shared" si="19"/>
        <v>0.5126252983999997</v>
      </c>
    </row>
    <row r="89" spans="1:15" ht="12.75">
      <c r="A89">
        <v>150</v>
      </c>
      <c r="B89">
        <f t="shared" si="16"/>
        <v>1.6644285596231714</v>
      </c>
      <c r="C89">
        <v>43464</v>
      </c>
      <c r="D89">
        <v>1960</v>
      </c>
      <c r="E89">
        <v>45</v>
      </c>
      <c r="F89">
        <v>1303</v>
      </c>
      <c r="G89">
        <f t="shared" si="17"/>
        <v>0.6977225672877847</v>
      </c>
      <c r="N89">
        <f t="shared" si="18"/>
        <v>2.1799999999999993</v>
      </c>
      <c r="O89">
        <f t="shared" si="19"/>
        <v>0.5086848175999998</v>
      </c>
    </row>
    <row r="90" spans="1:15" ht="12.75">
      <c r="A90">
        <v>180</v>
      </c>
      <c r="B90">
        <f t="shared" si="16"/>
        <v>1.9743203041070985</v>
      </c>
      <c r="C90">
        <v>34689</v>
      </c>
      <c r="D90">
        <v>1975</v>
      </c>
      <c r="E90">
        <v>40</v>
      </c>
      <c r="F90">
        <v>1063</v>
      </c>
      <c r="G90">
        <f t="shared" si="17"/>
        <v>0.566512583461736</v>
      </c>
      <c r="N90">
        <f t="shared" si="18"/>
        <v>2.189999999999999</v>
      </c>
      <c r="O90">
        <f t="shared" si="19"/>
        <v>0.5047410112000004</v>
      </c>
    </row>
    <row r="91" spans="1:15" ht="12.75">
      <c r="A91">
        <v>210</v>
      </c>
      <c r="B91">
        <f t="shared" si="16"/>
        <v>2.284212048591025</v>
      </c>
      <c r="C91">
        <v>28511</v>
      </c>
      <c r="D91">
        <v>2024</v>
      </c>
      <c r="E91">
        <v>38</v>
      </c>
      <c r="F91">
        <v>928</v>
      </c>
      <c r="G91">
        <f t="shared" si="17"/>
        <v>0.48396793587174347</v>
      </c>
      <c r="N91" s="2">
        <f t="shared" si="18"/>
        <v>2.199999999999999</v>
      </c>
      <c r="O91" s="2">
        <f t="shared" si="19"/>
        <v>0.5007944000000004</v>
      </c>
    </row>
    <row r="92" spans="1:15" ht="12.75">
      <c r="A92">
        <v>240</v>
      </c>
      <c r="B92">
        <f t="shared" si="16"/>
        <v>2.5941037930749524</v>
      </c>
      <c r="C92">
        <v>23119</v>
      </c>
      <c r="D92">
        <v>1973</v>
      </c>
      <c r="E92">
        <v>27</v>
      </c>
      <c r="F92">
        <v>658</v>
      </c>
      <c r="G92">
        <f t="shared" si="17"/>
        <v>0.35218508997429304</v>
      </c>
      <c r="N92">
        <f t="shared" si="18"/>
        <v>2.2099999999999986</v>
      </c>
      <c r="O92">
        <f t="shared" si="19"/>
        <v>0.4968455048000007</v>
      </c>
    </row>
    <row r="93" spans="1:15" ht="12.75">
      <c r="A93">
        <v>270</v>
      </c>
      <c r="B93">
        <f t="shared" si="16"/>
        <v>2.9039955375588793</v>
      </c>
      <c r="C93">
        <v>18570</v>
      </c>
      <c r="D93">
        <v>2049</v>
      </c>
      <c r="E93">
        <v>16</v>
      </c>
      <c r="F93">
        <v>473</v>
      </c>
      <c r="G93">
        <f t="shared" si="17"/>
        <v>0.24195942602671944</v>
      </c>
      <c r="N93">
        <f t="shared" si="18"/>
        <v>2.2199999999999984</v>
      </c>
      <c r="O93">
        <f t="shared" si="19"/>
        <v>0.4928948464000003</v>
      </c>
    </row>
    <row r="94" spans="1:15" ht="12.75">
      <c r="A94">
        <v>300</v>
      </c>
      <c r="B94">
        <f t="shared" si="16"/>
        <v>3.213887282042806</v>
      </c>
      <c r="C94">
        <v>14605</v>
      </c>
      <c r="D94">
        <v>2082</v>
      </c>
      <c r="E94">
        <v>11</v>
      </c>
      <c r="F94">
        <v>362</v>
      </c>
      <c r="G94">
        <f t="shared" si="17"/>
        <v>0.1815968841285297</v>
      </c>
      <c r="N94">
        <f t="shared" si="18"/>
        <v>2.229999999999998</v>
      </c>
      <c r="O94">
        <f t="shared" si="19"/>
        <v>0.48894294560000034</v>
      </c>
    </row>
    <row r="98" spans="1:4" ht="12.75">
      <c r="A98" t="s">
        <v>28</v>
      </c>
      <c r="C98" s="3"/>
      <c r="D98" s="3"/>
    </row>
    <row r="100" spans="1:7" ht="12.75">
      <c r="A100" t="s">
        <v>0</v>
      </c>
      <c r="B100" t="s">
        <v>1</v>
      </c>
      <c r="C100" t="s">
        <v>2</v>
      </c>
      <c r="D100" t="s">
        <v>3</v>
      </c>
      <c r="E100" t="s">
        <v>4</v>
      </c>
      <c r="F100" t="s">
        <v>5</v>
      </c>
      <c r="G100" t="s">
        <v>6</v>
      </c>
    </row>
    <row r="101" spans="1:15" ht="12.75">
      <c r="A101">
        <v>85</v>
      </c>
      <c r="B101">
        <f aca="true" t="shared" si="20" ref="B101:B109">(A101-offset)/gain</f>
        <v>0.9929964465746631</v>
      </c>
      <c r="C101">
        <v>74396</v>
      </c>
      <c r="D101">
        <v>1981</v>
      </c>
      <c r="E101">
        <v>73</v>
      </c>
      <c r="F101">
        <v>1525</v>
      </c>
      <c r="G101">
        <f aca="true" t="shared" si="21" ref="G101:G109">(F101+E101)/(D101-14*2)</f>
        <v>0.8182283666154634</v>
      </c>
      <c r="N101">
        <v>2.35</v>
      </c>
      <c r="O101">
        <f>0.0429*N101^3-0.3215*N101^2+0.4779*N101+0.6085</f>
        <v>0.5128320874999999</v>
      </c>
    </row>
    <row r="102" spans="1:15" ht="12.75">
      <c r="A102">
        <v>120</v>
      </c>
      <c r="B102">
        <f t="shared" si="20"/>
        <v>1.3545368151392445</v>
      </c>
      <c r="C102">
        <v>56540</v>
      </c>
      <c r="D102">
        <v>2023</v>
      </c>
      <c r="E102">
        <v>53</v>
      </c>
      <c r="F102">
        <v>1438</v>
      </c>
      <c r="G102">
        <f t="shared" si="21"/>
        <v>0.7473684210526316</v>
      </c>
      <c r="N102">
        <f aca="true" t="shared" si="22" ref="N102:N109">N101+0.01</f>
        <v>2.36</v>
      </c>
      <c r="O102">
        <f aca="true" t="shared" si="23" ref="O102:O109">0.0429*N102^3-0.3215*N102^2+0.4779*N102+0.6085</f>
        <v>0.5096061824</v>
      </c>
    </row>
    <row r="103" spans="1:15" ht="12.75">
      <c r="A103">
        <v>150</v>
      </c>
      <c r="B103">
        <f t="shared" si="20"/>
        <v>1.6644285596231714</v>
      </c>
      <c r="C103">
        <v>46080</v>
      </c>
      <c r="D103">
        <v>1958</v>
      </c>
      <c r="E103">
        <v>50</v>
      </c>
      <c r="F103">
        <v>1341</v>
      </c>
      <c r="G103">
        <f t="shared" si="21"/>
        <v>0.7207253886010363</v>
      </c>
      <c r="N103">
        <f t="shared" si="22"/>
        <v>2.3699999999999997</v>
      </c>
      <c r="O103">
        <f t="shared" si="23"/>
        <v>0.5063767237000001</v>
      </c>
    </row>
    <row r="104" spans="1:15" ht="12.75">
      <c r="A104">
        <v>180</v>
      </c>
      <c r="B104">
        <f t="shared" si="20"/>
        <v>1.9743203041070985</v>
      </c>
      <c r="C104">
        <v>38149</v>
      </c>
      <c r="D104">
        <v>1912</v>
      </c>
      <c r="E104">
        <v>43</v>
      </c>
      <c r="F104">
        <v>1150</v>
      </c>
      <c r="G104">
        <f t="shared" si="21"/>
        <v>0.6332271762208068</v>
      </c>
      <c r="N104">
        <f t="shared" si="22"/>
        <v>2.3799999999999994</v>
      </c>
      <c r="O104">
        <f t="shared" si="23"/>
        <v>0.5031439688000003</v>
      </c>
    </row>
    <row r="105" spans="1:15" ht="12.75">
      <c r="A105">
        <v>210</v>
      </c>
      <c r="B105">
        <f t="shared" si="20"/>
        <v>2.284212048591025</v>
      </c>
      <c r="C105">
        <v>32023</v>
      </c>
      <c r="D105">
        <v>1960</v>
      </c>
      <c r="E105">
        <v>34</v>
      </c>
      <c r="F105">
        <v>1004</v>
      </c>
      <c r="G105">
        <f t="shared" si="21"/>
        <v>0.5372670807453416</v>
      </c>
      <c r="N105" s="2">
        <f t="shared" si="22"/>
        <v>2.3899999999999992</v>
      </c>
      <c r="O105" s="2">
        <f t="shared" si="23"/>
        <v>0.4999081751000003</v>
      </c>
    </row>
    <row r="106" spans="1:15" ht="12.75">
      <c r="A106">
        <v>240</v>
      </c>
      <c r="B106">
        <f t="shared" si="20"/>
        <v>2.5941037930749524</v>
      </c>
      <c r="C106">
        <v>25460</v>
      </c>
      <c r="D106">
        <v>2001</v>
      </c>
      <c r="E106">
        <v>29</v>
      </c>
      <c r="F106">
        <v>843</v>
      </c>
      <c r="G106">
        <f t="shared" si="21"/>
        <v>0.4419665484034465</v>
      </c>
      <c r="N106">
        <f t="shared" si="22"/>
        <v>2.399999999999999</v>
      </c>
      <c r="O106">
        <f t="shared" si="23"/>
        <v>0.4966696000000004</v>
      </c>
    </row>
    <row r="107" spans="1:15" ht="12.75">
      <c r="A107">
        <v>270</v>
      </c>
      <c r="B107">
        <f t="shared" si="20"/>
        <v>2.9039955375588793</v>
      </c>
      <c r="C107">
        <v>21512</v>
      </c>
      <c r="D107">
        <v>1937</v>
      </c>
      <c r="E107">
        <v>20</v>
      </c>
      <c r="F107">
        <v>593</v>
      </c>
      <c r="G107">
        <f t="shared" si="21"/>
        <v>0.321110529072813</v>
      </c>
      <c r="N107">
        <f t="shared" si="22"/>
        <v>2.409999999999999</v>
      </c>
      <c r="O107">
        <f t="shared" si="23"/>
        <v>0.49342850090000034</v>
      </c>
    </row>
    <row r="108" spans="1:15" ht="12.75">
      <c r="A108">
        <v>300</v>
      </c>
      <c r="B108">
        <f t="shared" si="20"/>
        <v>3.213887282042806</v>
      </c>
      <c r="C108">
        <v>17004</v>
      </c>
      <c r="D108">
        <v>1908</v>
      </c>
      <c r="E108">
        <v>16</v>
      </c>
      <c r="F108">
        <v>439</v>
      </c>
      <c r="G108">
        <f t="shared" si="21"/>
        <v>0.24202127659574468</v>
      </c>
      <c r="N108">
        <f t="shared" si="22"/>
        <v>2.4199999999999986</v>
      </c>
      <c r="O108">
        <f t="shared" si="23"/>
        <v>0.4901851352000002</v>
      </c>
    </row>
    <row r="109" spans="1:15" ht="12.75">
      <c r="A109">
        <v>330</v>
      </c>
      <c r="B109">
        <f t="shared" si="20"/>
        <v>3.523779026526733</v>
      </c>
      <c r="C109">
        <v>13555</v>
      </c>
      <c r="D109">
        <v>1974</v>
      </c>
      <c r="E109">
        <v>18</v>
      </c>
      <c r="F109">
        <v>335</v>
      </c>
      <c r="G109">
        <f t="shared" si="21"/>
        <v>0.18139773895169578</v>
      </c>
      <c r="N109">
        <f t="shared" si="22"/>
        <v>2.4299999999999984</v>
      </c>
      <c r="O109">
        <f t="shared" si="23"/>
        <v>0.4869397603000003</v>
      </c>
    </row>
    <row r="114" spans="1:4" ht="12.75">
      <c r="A114" t="s">
        <v>15</v>
      </c>
      <c r="C114" s="3"/>
      <c r="D114" s="3"/>
    </row>
    <row r="116" spans="1:7" ht="12.75">
      <c r="A116" t="s">
        <v>0</v>
      </c>
      <c r="B116" t="s">
        <v>1</v>
      </c>
      <c r="C116" t="s">
        <v>2</v>
      </c>
      <c r="D116" t="s">
        <v>3</v>
      </c>
      <c r="E116" t="s">
        <v>4</v>
      </c>
      <c r="F116" t="s">
        <v>5</v>
      </c>
      <c r="G116" t="s">
        <v>6</v>
      </c>
    </row>
    <row r="117" spans="1:15" ht="12.75">
      <c r="A117">
        <v>85</v>
      </c>
      <c r="B117">
        <f aca="true" t="shared" si="24" ref="B117:B124">(A117-offset)/gain</f>
        <v>0.9929964465746631</v>
      </c>
      <c r="C117">
        <v>76488</v>
      </c>
      <c r="D117">
        <v>1943</v>
      </c>
      <c r="E117">
        <v>62</v>
      </c>
      <c r="F117">
        <v>1474</v>
      </c>
      <c r="G117">
        <f aca="true" t="shared" si="25" ref="G117:G124">(F117+E117)/(D117-14*2)</f>
        <v>0.802088772845953</v>
      </c>
      <c r="N117">
        <v>2.45</v>
      </c>
      <c r="O117">
        <f>0.0374*N117^3-0.2964*N117^2+0.4625*N117+0.6007</f>
        <v>0.504693075</v>
      </c>
    </row>
    <row r="118" spans="1:15" ht="12.75">
      <c r="A118" s="10">
        <v>150</v>
      </c>
      <c r="B118" s="10">
        <f t="shared" si="24"/>
        <v>1.6644285596231714</v>
      </c>
      <c r="C118">
        <v>47426</v>
      </c>
      <c r="D118">
        <v>1926</v>
      </c>
      <c r="E118">
        <v>52</v>
      </c>
      <c r="F118">
        <v>1356</v>
      </c>
      <c r="G118">
        <f>(F118+E118)/(D118-14*2)</f>
        <v>0.7418335089567967</v>
      </c>
      <c r="N118" s="2">
        <f aca="true" t="shared" si="26" ref="N118:N125">N117+0.01</f>
        <v>2.46</v>
      </c>
      <c r="O118" s="2">
        <f aca="true" t="shared" si="27" ref="O118:O125">0.0374*N118^3-0.2964*N118^2+0.4625*N118+0.6007</f>
        <v>0.5015271664000003</v>
      </c>
    </row>
    <row r="119" spans="1:15" ht="12.75">
      <c r="A119">
        <v>180</v>
      </c>
      <c r="B119">
        <f t="shared" si="24"/>
        <v>1.9743203041070985</v>
      </c>
      <c r="C119">
        <v>39266</v>
      </c>
      <c r="D119">
        <v>1937</v>
      </c>
      <c r="E119">
        <v>39</v>
      </c>
      <c r="F119">
        <v>1138</v>
      </c>
      <c r="G119">
        <f t="shared" si="25"/>
        <v>0.6165531691985333</v>
      </c>
      <c r="N119">
        <f t="shared" si="26"/>
        <v>2.4699999999999998</v>
      </c>
      <c r="O119">
        <f t="shared" si="27"/>
        <v>0.4983571802000002</v>
      </c>
    </row>
    <row r="120" spans="1:15" ht="12.75">
      <c r="A120">
        <v>210</v>
      </c>
      <c r="B120">
        <f t="shared" si="24"/>
        <v>2.284212048591025</v>
      </c>
      <c r="C120">
        <v>33006</v>
      </c>
      <c r="D120">
        <v>1980</v>
      </c>
      <c r="E120">
        <v>44</v>
      </c>
      <c r="F120">
        <v>1039</v>
      </c>
      <c r="G120">
        <f t="shared" si="25"/>
        <v>0.5548155737704918</v>
      </c>
      <c r="N120">
        <f t="shared" si="26"/>
        <v>2.4799999999999995</v>
      </c>
      <c r="O120">
        <f t="shared" si="27"/>
        <v>0.49518334080000037</v>
      </c>
    </row>
    <row r="121" spans="1:15" ht="12.75">
      <c r="A121">
        <v>240</v>
      </c>
      <c r="B121">
        <f t="shared" si="24"/>
        <v>2.5941037930749524</v>
      </c>
      <c r="C121">
        <v>27330</v>
      </c>
      <c r="D121">
        <v>1887</v>
      </c>
      <c r="E121">
        <v>35</v>
      </c>
      <c r="F121">
        <v>861</v>
      </c>
      <c r="G121">
        <f t="shared" si="25"/>
        <v>0.48197955890263583</v>
      </c>
      <c r="N121">
        <f t="shared" si="26"/>
        <v>2.4899999999999993</v>
      </c>
      <c r="O121">
        <f t="shared" si="27"/>
        <v>0.4920058726000003</v>
      </c>
    </row>
    <row r="122" spans="1:15" ht="12.75">
      <c r="A122">
        <v>270</v>
      </c>
      <c r="B122">
        <f t="shared" si="24"/>
        <v>2.9039955375588793</v>
      </c>
      <c r="C122">
        <v>22059</v>
      </c>
      <c r="D122">
        <v>1966</v>
      </c>
      <c r="E122">
        <v>22</v>
      </c>
      <c r="F122">
        <v>649</v>
      </c>
      <c r="G122">
        <f t="shared" si="25"/>
        <v>0.3462332301341589</v>
      </c>
      <c r="N122">
        <f t="shared" si="26"/>
        <v>2.499999999999999</v>
      </c>
      <c r="O122">
        <f t="shared" si="27"/>
        <v>0.4888250000000003</v>
      </c>
    </row>
    <row r="123" spans="1:15" ht="12.75">
      <c r="A123">
        <v>300</v>
      </c>
      <c r="B123">
        <f t="shared" si="24"/>
        <v>3.213887282042806</v>
      </c>
      <c r="C123">
        <v>18744</v>
      </c>
      <c r="D123">
        <v>1893</v>
      </c>
      <c r="E123">
        <v>18</v>
      </c>
      <c r="F123">
        <v>477</v>
      </c>
      <c r="G123">
        <f t="shared" si="25"/>
        <v>0.26541554959785524</v>
      </c>
      <c r="N123">
        <f t="shared" si="26"/>
        <v>2.509999999999999</v>
      </c>
      <c r="O123">
        <f t="shared" si="27"/>
        <v>0.48564094740000074</v>
      </c>
    </row>
    <row r="124" spans="1:15" ht="12.75">
      <c r="A124">
        <v>330</v>
      </c>
      <c r="B124">
        <f t="shared" si="24"/>
        <v>3.523779026526733</v>
      </c>
      <c r="C124">
        <v>15045</v>
      </c>
      <c r="D124">
        <v>1968</v>
      </c>
      <c r="E124">
        <v>16</v>
      </c>
      <c r="F124">
        <v>343</v>
      </c>
      <c r="G124">
        <f t="shared" si="25"/>
        <v>0.18505154639175259</v>
      </c>
      <c r="N124">
        <f t="shared" si="26"/>
        <v>2.5199999999999987</v>
      </c>
      <c r="O124">
        <f t="shared" si="27"/>
        <v>0.4824539392000009</v>
      </c>
    </row>
    <row r="125" spans="14:15" ht="12.75">
      <c r="N125">
        <f t="shared" si="26"/>
        <v>2.5299999999999985</v>
      </c>
      <c r="O125">
        <f t="shared" si="27"/>
        <v>0.4792641998000007</v>
      </c>
    </row>
    <row r="129" spans="1:4" ht="12.75">
      <c r="A129" t="s">
        <v>31</v>
      </c>
      <c r="C129" s="3"/>
      <c r="D129" s="3"/>
    </row>
    <row r="131" spans="1:7" ht="12.75">
      <c r="A131" t="s">
        <v>0</v>
      </c>
      <c r="B131" t="s">
        <v>1</v>
      </c>
      <c r="C131" t="s">
        <v>2</v>
      </c>
      <c r="D131" t="s">
        <v>3</v>
      </c>
      <c r="E131" t="s">
        <v>4</v>
      </c>
      <c r="F131" t="s">
        <v>5</v>
      </c>
      <c r="G131" t="s">
        <v>6</v>
      </c>
    </row>
    <row r="132" spans="1:7" ht="12.75">
      <c r="A132">
        <v>85</v>
      </c>
      <c r="B132">
        <f aca="true" t="shared" si="28" ref="B132:B139">(A132-offset)/gain</f>
        <v>0.9929964465746631</v>
      </c>
      <c r="C132">
        <v>78033</v>
      </c>
      <c r="D132">
        <v>1987</v>
      </c>
      <c r="E132">
        <v>74</v>
      </c>
      <c r="F132">
        <v>1498</v>
      </c>
      <c r="G132">
        <f aca="true" t="shared" si="29" ref="G132:G139">(F132+E132)/(D132-14*2)</f>
        <v>0.8024502297090352</v>
      </c>
    </row>
    <row r="133" spans="1:15" ht="12.75">
      <c r="A133">
        <v>150</v>
      </c>
      <c r="B133">
        <f t="shared" si="28"/>
        <v>1.6644285596231714</v>
      </c>
      <c r="G133">
        <f t="shared" si="29"/>
        <v>0</v>
      </c>
      <c r="N133">
        <v>2.55</v>
      </c>
      <c r="O133">
        <f aca="true" t="shared" si="30" ref="O133:O138">-0.0207*N133^2-0.2019*N133+1.1514</f>
        <v>0.50195325</v>
      </c>
    </row>
    <row r="134" spans="1:15" ht="12.75">
      <c r="A134">
        <v>180</v>
      </c>
      <c r="B134">
        <f t="shared" si="28"/>
        <v>1.9743203041070985</v>
      </c>
      <c r="G134">
        <f t="shared" si="29"/>
        <v>0</v>
      </c>
      <c r="N134" s="2">
        <f>N133+0.01</f>
        <v>2.5599999999999996</v>
      </c>
      <c r="O134" s="2">
        <f t="shared" si="30"/>
        <v>0.4988764800000002</v>
      </c>
    </row>
    <row r="135" spans="1:15" ht="12.75">
      <c r="A135">
        <v>210</v>
      </c>
      <c r="B135">
        <f t="shared" si="28"/>
        <v>2.284212048591025</v>
      </c>
      <c r="C135">
        <v>34032</v>
      </c>
      <c r="D135">
        <v>1909</v>
      </c>
      <c r="E135">
        <v>40</v>
      </c>
      <c r="F135">
        <v>1055</v>
      </c>
      <c r="G135">
        <f t="shared" si="29"/>
        <v>0.5821371610845295</v>
      </c>
      <c r="N135">
        <f>N134+0.01</f>
        <v>2.5699999999999994</v>
      </c>
      <c r="O135">
        <f t="shared" si="30"/>
        <v>0.4957955700000002</v>
      </c>
    </row>
    <row r="136" spans="1:15" ht="12.75">
      <c r="A136">
        <v>240</v>
      </c>
      <c r="B136">
        <f t="shared" si="28"/>
        <v>2.5941037930749524</v>
      </c>
      <c r="C136">
        <v>28832</v>
      </c>
      <c r="D136">
        <v>1939</v>
      </c>
      <c r="E136">
        <v>36</v>
      </c>
      <c r="F136">
        <v>897</v>
      </c>
      <c r="G136">
        <f t="shared" si="29"/>
        <v>0.48822605965463106</v>
      </c>
      <c r="N136">
        <f>N135+0.01</f>
        <v>2.579999999999999</v>
      </c>
      <c r="O136">
        <f t="shared" si="30"/>
        <v>0.49271052000000015</v>
      </c>
    </row>
    <row r="137" spans="1:15" ht="12.75">
      <c r="A137">
        <v>270</v>
      </c>
      <c r="B137">
        <f t="shared" si="28"/>
        <v>2.9039955375588793</v>
      </c>
      <c r="C137">
        <v>23563</v>
      </c>
      <c r="D137">
        <v>1993</v>
      </c>
      <c r="E137">
        <v>21</v>
      </c>
      <c r="F137">
        <v>746</v>
      </c>
      <c r="G137">
        <f t="shared" si="29"/>
        <v>0.39033078880407124</v>
      </c>
      <c r="N137">
        <f>N136+0.01</f>
        <v>2.589999999999999</v>
      </c>
      <c r="O137">
        <f t="shared" si="30"/>
        <v>0.4896213300000003</v>
      </c>
    </row>
    <row r="138" spans="1:15" ht="12.75">
      <c r="A138">
        <v>300</v>
      </c>
      <c r="B138">
        <f t="shared" si="28"/>
        <v>3.213887282042806</v>
      </c>
      <c r="G138">
        <f t="shared" si="29"/>
        <v>0</v>
      </c>
      <c r="N138">
        <f>N137+0.01</f>
        <v>2.5999999999999988</v>
      </c>
      <c r="O138">
        <f t="shared" si="30"/>
        <v>0.4865280000000004</v>
      </c>
    </row>
    <row r="139" spans="1:7" ht="12.75">
      <c r="A139">
        <v>330</v>
      </c>
      <c r="B139">
        <f t="shared" si="28"/>
        <v>3.523779026526733</v>
      </c>
      <c r="G139">
        <f t="shared" si="29"/>
        <v>0</v>
      </c>
    </row>
    <row r="144" spans="1:4" ht="12.75">
      <c r="A144" t="s">
        <v>32</v>
      </c>
      <c r="C144" s="3"/>
      <c r="D144" s="3"/>
    </row>
    <row r="146" spans="1:7" ht="12.75">
      <c r="A146" t="s">
        <v>0</v>
      </c>
      <c r="B146" t="s">
        <v>1</v>
      </c>
      <c r="C146" t="s">
        <v>2</v>
      </c>
      <c r="D146" t="s">
        <v>3</v>
      </c>
      <c r="E146" t="s">
        <v>4</v>
      </c>
      <c r="F146" t="s">
        <v>5</v>
      </c>
      <c r="G146" t="s">
        <v>6</v>
      </c>
    </row>
    <row r="147" spans="1:15" ht="12.75">
      <c r="A147">
        <v>85</v>
      </c>
      <c r="B147">
        <f aca="true" t="shared" si="31" ref="B147:B154">(A147-offset)/gain</f>
        <v>0.9929964465746631</v>
      </c>
      <c r="C147">
        <v>78091</v>
      </c>
      <c r="D147">
        <v>1870</v>
      </c>
      <c r="E147">
        <v>65</v>
      </c>
      <c r="F147">
        <v>1407</v>
      </c>
      <c r="G147">
        <f aca="true" t="shared" si="32" ref="G147:G152">(F147+E147)/(D147-14*2)</f>
        <v>0.7991313789359392</v>
      </c>
      <c r="N147">
        <v>2.5</v>
      </c>
      <c r="O147">
        <f>0.1392*N147^2-1.0109*N147+2.1671</f>
        <v>0.5098500000000004</v>
      </c>
    </row>
    <row r="148" spans="1:15" ht="12.75">
      <c r="A148">
        <v>150</v>
      </c>
      <c r="B148">
        <f t="shared" si="31"/>
        <v>1.6644285596231714</v>
      </c>
      <c r="G148">
        <f t="shared" si="32"/>
        <v>0</v>
      </c>
      <c r="N148" s="1">
        <f aca="true" t="shared" si="33" ref="N148:N153">N147+0.01</f>
        <v>2.51</v>
      </c>
      <c r="O148">
        <f aca="true" t="shared" si="34" ref="O148:O153">0.1392*N148^2-1.0109*N148+2.1671</f>
        <v>0.5067149200000003</v>
      </c>
    </row>
    <row r="149" spans="1:15" ht="12.75">
      <c r="A149">
        <v>180</v>
      </c>
      <c r="B149">
        <f t="shared" si="31"/>
        <v>1.9743203041070985</v>
      </c>
      <c r="G149">
        <f t="shared" si="32"/>
        <v>0</v>
      </c>
      <c r="N149">
        <f t="shared" si="33"/>
        <v>2.5199999999999996</v>
      </c>
      <c r="O149">
        <f t="shared" si="34"/>
        <v>0.5036076800000002</v>
      </c>
    </row>
    <row r="150" spans="1:15" ht="12.75">
      <c r="A150">
        <v>210</v>
      </c>
      <c r="B150">
        <f t="shared" si="31"/>
        <v>2.284212048591025</v>
      </c>
      <c r="C150">
        <v>35193</v>
      </c>
      <c r="D150">
        <v>1912</v>
      </c>
      <c r="E150">
        <v>38</v>
      </c>
      <c r="F150">
        <v>1063</v>
      </c>
      <c r="G150">
        <f t="shared" si="32"/>
        <v>0.5843949044585988</v>
      </c>
      <c r="N150" s="2">
        <f t="shared" si="33"/>
        <v>2.5299999999999994</v>
      </c>
      <c r="O150" s="2">
        <f t="shared" si="34"/>
        <v>0.5005282800000002</v>
      </c>
    </row>
    <row r="151" spans="1:15" ht="12.75">
      <c r="A151">
        <v>240</v>
      </c>
      <c r="B151">
        <f t="shared" si="31"/>
        <v>2.5941037930749524</v>
      </c>
      <c r="C151">
        <v>28701</v>
      </c>
      <c r="D151">
        <v>1986</v>
      </c>
      <c r="E151">
        <v>46</v>
      </c>
      <c r="F151">
        <v>897</v>
      </c>
      <c r="G151">
        <f t="shared" si="32"/>
        <v>0.4816138917262513</v>
      </c>
      <c r="N151">
        <f t="shared" si="33"/>
        <v>2.539999999999999</v>
      </c>
      <c r="O151">
        <f t="shared" si="34"/>
        <v>0.49747672000000054</v>
      </c>
    </row>
    <row r="152" spans="1:15" ht="12.75">
      <c r="A152">
        <v>270</v>
      </c>
      <c r="B152">
        <f t="shared" si="31"/>
        <v>2.9039955375588793</v>
      </c>
      <c r="C152">
        <v>24609</v>
      </c>
      <c r="D152">
        <v>1929</v>
      </c>
      <c r="E152">
        <v>26</v>
      </c>
      <c r="F152">
        <v>745</v>
      </c>
      <c r="G152">
        <f t="shared" si="32"/>
        <v>0.40557601262493426</v>
      </c>
      <c r="N152">
        <f t="shared" si="33"/>
        <v>2.549999999999999</v>
      </c>
      <c r="O152">
        <f t="shared" si="34"/>
        <v>0.4944530000000005</v>
      </c>
    </row>
    <row r="153" spans="1:15" ht="12.75">
      <c r="A153">
        <v>300</v>
      </c>
      <c r="B153">
        <f t="shared" si="31"/>
        <v>3.213887282042806</v>
      </c>
      <c r="N153">
        <f t="shared" si="33"/>
        <v>2.5599999999999987</v>
      </c>
      <c r="O153">
        <f t="shared" si="34"/>
        <v>0.4914571200000004</v>
      </c>
    </row>
    <row r="154" spans="1:15" ht="12.75">
      <c r="A154">
        <v>330</v>
      </c>
      <c r="B154">
        <f t="shared" si="31"/>
        <v>3.523779026526733</v>
      </c>
      <c r="N154" s="2"/>
      <c r="O154" s="2"/>
    </row>
    <row r="158" spans="1:4" ht="12.75">
      <c r="A158" t="s">
        <v>33</v>
      </c>
      <c r="C158" s="3"/>
      <c r="D158" s="3"/>
    </row>
    <row r="160" spans="1:7" ht="12.75">
      <c r="A160" t="s">
        <v>0</v>
      </c>
      <c r="B160" t="s">
        <v>1</v>
      </c>
      <c r="C160" t="s">
        <v>2</v>
      </c>
      <c r="D160" t="s">
        <v>3</v>
      </c>
      <c r="E160" t="s">
        <v>4</v>
      </c>
      <c r="F160" t="s">
        <v>5</v>
      </c>
      <c r="G160" t="s">
        <v>6</v>
      </c>
    </row>
    <row r="161" spans="1:7" ht="12.75">
      <c r="A161">
        <v>85</v>
      </c>
      <c r="B161">
        <f aca="true" t="shared" si="35" ref="B161:B168">(A161-offset)/gain</f>
        <v>0.9929964465746631</v>
      </c>
      <c r="C161">
        <v>78018</v>
      </c>
      <c r="D161">
        <v>1951</v>
      </c>
      <c r="E161">
        <v>70</v>
      </c>
      <c r="F161">
        <v>1492</v>
      </c>
      <c r="G161">
        <f>(F161+E161)/(D161-14*2)</f>
        <v>0.8122724908996359</v>
      </c>
    </row>
    <row r="162" spans="1:15" ht="12.75">
      <c r="A162">
        <v>150</v>
      </c>
      <c r="B162">
        <f t="shared" si="35"/>
        <v>1.6644285596231714</v>
      </c>
      <c r="G162">
        <f aca="true" t="shared" si="36" ref="G162:G168">(F162+E162)/(D162-14*2)</f>
        <v>0</v>
      </c>
      <c r="N162">
        <v>2.6</v>
      </c>
      <c r="O162">
        <f aca="true" t="shared" si="37" ref="O162:O167">-0.058*N162^2+0.0251*N162+0.8379</f>
        <v>0.51108</v>
      </c>
    </row>
    <row r="163" spans="1:15" ht="12.75">
      <c r="A163">
        <v>180</v>
      </c>
      <c r="B163">
        <f t="shared" si="35"/>
        <v>1.9743203041070985</v>
      </c>
      <c r="G163">
        <f t="shared" si="36"/>
        <v>0</v>
      </c>
      <c r="N163">
        <f>N162+0.01</f>
        <v>2.61</v>
      </c>
      <c r="O163">
        <f t="shared" si="37"/>
        <v>0.5083092</v>
      </c>
    </row>
    <row r="164" spans="1:15" ht="12.75">
      <c r="A164">
        <v>210</v>
      </c>
      <c r="B164">
        <f t="shared" si="35"/>
        <v>2.284212048591025</v>
      </c>
      <c r="C164">
        <v>35255</v>
      </c>
      <c r="D164">
        <v>1954</v>
      </c>
      <c r="E164">
        <v>44</v>
      </c>
      <c r="F164">
        <v>1097</v>
      </c>
      <c r="G164">
        <f t="shared" si="36"/>
        <v>0.5924195223260644</v>
      </c>
      <c r="N164">
        <f>N163+0.01</f>
        <v>2.6199999999999997</v>
      </c>
      <c r="O164">
        <f t="shared" si="37"/>
        <v>0.5055268</v>
      </c>
    </row>
    <row r="165" spans="1:15" ht="12.75">
      <c r="A165">
        <v>240</v>
      </c>
      <c r="B165">
        <f t="shared" si="35"/>
        <v>2.5941037930749524</v>
      </c>
      <c r="C165">
        <v>29664</v>
      </c>
      <c r="D165">
        <v>1956</v>
      </c>
      <c r="E165">
        <v>41</v>
      </c>
      <c r="F165">
        <v>947</v>
      </c>
      <c r="G165">
        <f t="shared" si="36"/>
        <v>0.5124481327800829</v>
      </c>
      <c r="N165">
        <f>N164+0.01</f>
        <v>2.6299999999999994</v>
      </c>
      <c r="O165">
        <f t="shared" si="37"/>
        <v>0.5027328000000001</v>
      </c>
    </row>
    <row r="166" spans="1:15" ht="12.75">
      <c r="A166">
        <v>270</v>
      </c>
      <c r="B166">
        <f t="shared" si="35"/>
        <v>2.9039955375588793</v>
      </c>
      <c r="C166">
        <v>25124</v>
      </c>
      <c r="D166">
        <v>1941</v>
      </c>
      <c r="E166">
        <v>25</v>
      </c>
      <c r="F166">
        <v>781</v>
      </c>
      <c r="G166">
        <f t="shared" si="36"/>
        <v>0.42132775744903295</v>
      </c>
      <c r="N166" s="2">
        <f>N165+0.01</f>
        <v>2.6399999999999992</v>
      </c>
      <c r="O166" s="2">
        <f t="shared" si="37"/>
        <v>0.4999272000000002</v>
      </c>
    </row>
    <row r="167" spans="1:15" ht="12.75">
      <c r="A167">
        <v>300</v>
      </c>
      <c r="B167">
        <f t="shared" si="35"/>
        <v>3.213887282042806</v>
      </c>
      <c r="G167">
        <f t="shared" si="36"/>
        <v>0</v>
      </c>
      <c r="N167">
        <f>N166+0.01</f>
        <v>2.649999999999999</v>
      </c>
      <c r="O167">
        <f t="shared" si="37"/>
        <v>0.4971100000000003</v>
      </c>
    </row>
    <row r="168" spans="1:15" ht="12.75">
      <c r="A168">
        <v>330</v>
      </c>
      <c r="B168">
        <f t="shared" si="35"/>
        <v>3.523779026526733</v>
      </c>
      <c r="G168">
        <f t="shared" si="36"/>
        <v>0</v>
      </c>
      <c r="N168" s="2"/>
      <c r="O168" s="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68"/>
  <sheetViews>
    <sheetView workbookViewId="0" topLeftCell="K1">
      <selection activeCell="L1" sqref="L1:N13"/>
    </sheetView>
  </sheetViews>
  <sheetFormatPr defaultColWidth="9.140625" defaultRowHeight="12.75"/>
  <cols>
    <col min="1" max="1" width="10.28125" style="0" customWidth="1"/>
  </cols>
  <sheetData>
    <row r="1" spans="1:15" ht="12.75">
      <c r="A1" t="s">
        <v>37</v>
      </c>
      <c r="F1" s="10"/>
      <c r="G1" s="10"/>
      <c r="L1" t="s">
        <v>34</v>
      </c>
      <c r="M1" t="s">
        <v>35</v>
      </c>
      <c r="N1" t="s">
        <v>18</v>
      </c>
      <c r="O1" t="s">
        <v>50</v>
      </c>
    </row>
    <row r="2" spans="7:15" ht="12.75">
      <c r="G2" t="s">
        <v>47</v>
      </c>
      <c r="L2">
        <v>20</v>
      </c>
      <c r="M2">
        <f>G10</f>
        <v>0.35120299548872175</v>
      </c>
      <c r="O2">
        <v>7.8</v>
      </c>
    </row>
    <row r="3" spans="7:15" ht="12.75">
      <c r="G3">
        <v>1.006681</v>
      </c>
      <c r="L3">
        <v>30</v>
      </c>
      <c r="M3">
        <f>G20</f>
        <v>0.6118646398199099</v>
      </c>
      <c r="N3">
        <f>N21</f>
        <v>1.16</v>
      </c>
      <c r="O3">
        <v>9.3</v>
      </c>
    </row>
    <row r="4" spans="12:15" ht="12.75">
      <c r="L4">
        <v>40</v>
      </c>
      <c r="M4">
        <f>G31</f>
        <v>0.7416608546168958</v>
      </c>
      <c r="N4">
        <f>N31</f>
        <v>1.37</v>
      </c>
      <c r="O4">
        <v>9.9</v>
      </c>
    </row>
    <row r="5" spans="12:15" ht="12.75">
      <c r="L5">
        <v>60</v>
      </c>
      <c r="M5">
        <f>G44</f>
        <v>0.7729161432806323</v>
      </c>
      <c r="N5">
        <f>N45</f>
        <v>1.66</v>
      </c>
      <c r="O5">
        <v>10.5</v>
      </c>
    </row>
    <row r="6" spans="12:15" ht="12.75">
      <c r="L6">
        <v>80</v>
      </c>
      <c r="M6">
        <f>G57</f>
        <v>0.8230948428211586</v>
      </c>
      <c r="N6">
        <f>N60</f>
        <v>1.83</v>
      </c>
      <c r="O6">
        <v>10.9</v>
      </c>
    </row>
    <row r="7" spans="1:15" ht="12.75">
      <c r="A7" t="s">
        <v>7</v>
      </c>
      <c r="L7">
        <v>100</v>
      </c>
      <c r="M7">
        <f>G72</f>
        <v>0.81180744345679</v>
      </c>
      <c r="N7">
        <f>N74</f>
        <v>2.0199999999999996</v>
      </c>
      <c r="O7">
        <v>11.2</v>
      </c>
    </row>
    <row r="8" spans="12:15" ht="12.75">
      <c r="L8">
        <v>150</v>
      </c>
      <c r="M8">
        <f>G88</f>
        <v>0.8090657987012987</v>
      </c>
      <c r="N8">
        <f>N91</f>
        <v>2.2299999999999995</v>
      </c>
      <c r="O8">
        <v>11.8</v>
      </c>
    </row>
    <row r="9" spans="1:15" ht="12.75">
      <c r="A9" t="s">
        <v>0</v>
      </c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L9">
        <v>200</v>
      </c>
      <c r="M9">
        <f>G102</f>
        <v>0.8265601950965049</v>
      </c>
      <c r="N9">
        <f>N105</f>
        <v>2.4299999999999993</v>
      </c>
      <c r="O9">
        <v>11.9</v>
      </c>
    </row>
    <row r="10" spans="1:15" ht="12.75">
      <c r="A10" s="10">
        <v>85</v>
      </c>
      <c r="B10">
        <f>(A10-offset)/gain</f>
        <v>0.9929964465746631</v>
      </c>
      <c r="C10">
        <v>19748</v>
      </c>
      <c r="D10">
        <v>2023</v>
      </c>
      <c r="E10">
        <v>22</v>
      </c>
      <c r="F10">
        <v>674</v>
      </c>
      <c r="G10">
        <f>corr200*(E10+F10)/(D10-14*2)</f>
        <v>0.35120299548872175</v>
      </c>
      <c r="L10">
        <v>250</v>
      </c>
      <c r="M10">
        <f>G117</f>
        <v>0.812574284800787</v>
      </c>
      <c r="N10">
        <f>N119</f>
        <v>2.5199999999999996</v>
      </c>
      <c r="O10" s="4">
        <v>12.24</v>
      </c>
    </row>
    <row r="11" spans="1:15" ht="12.75">
      <c r="A11">
        <v>100</v>
      </c>
      <c r="B11">
        <f>(A11-offset)/gain</f>
        <v>1.1479423188166267</v>
      </c>
      <c r="C11">
        <v>16473</v>
      </c>
      <c r="D11">
        <v>2137</v>
      </c>
      <c r="E11">
        <v>18</v>
      </c>
      <c r="F11">
        <v>533</v>
      </c>
      <c r="G11">
        <f>corr200*(E11+F11)/(D11-14*2)</f>
        <v>0.2630067477477477</v>
      </c>
      <c r="L11">
        <v>300</v>
      </c>
      <c r="M11">
        <f>G132</f>
        <v>0.8016822920667003</v>
      </c>
      <c r="N11">
        <f>N139</f>
        <v>2.5599999999999987</v>
      </c>
      <c r="O11" s="12">
        <v>12.7</v>
      </c>
    </row>
    <row r="12" spans="1:15" ht="12.75">
      <c r="A12">
        <v>120</v>
      </c>
      <c r="B12">
        <f>(A12-offset)/gain</f>
        <v>1.3545368151392445</v>
      </c>
      <c r="C12">
        <v>10771</v>
      </c>
      <c r="D12">
        <v>2036</v>
      </c>
      <c r="E12">
        <v>9</v>
      </c>
      <c r="F12">
        <v>275</v>
      </c>
      <c r="G12">
        <f>corr200*(E12+F12)/(D12-14*2)</f>
        <v>0.14237918525896415</v>
      </c>
      <c r="L12">
        <v>350</v>
      </c>
      <c r="M12">
        <f>G147</f>
        <v>0.8095753600764087</v>
      </c>
      <c r="N12">
        <f>N153</f>
        <v>2.6699999999999986</v>
      </c>
      <c r="O12" s="12">
        <v>13.2</v>
      </c>
    </row>
    <row r="13" spans="12:15" ht="12.75">
      <c r="L13">
        <v>400</v>
      </c>
      <c r="M13">
        <f>G161</f>
        <v>0.8012033908227847</v>
      </c>
      <c r="N13">
        <f>N167</f>
        <v>2.659999999999999</v>
      </c>
      <c r="O13" s="12">
        <v>13.7</v>
      </c>
    </row>
    <row r="17" ht="12.75">
      <c r="A17" t="s">
        <v>8</v>
      </c>
    </row>
    <row r="19" spans="1:15" ht="12.75">
      <c r="A19" t="s">
        <v>0</v>
      </c>
      <c r="B19" t="s">
        <v>1</v>
      </c>
      <c r="C19" t="s">
        <v>2</v>
      </c>
      <c r="D19" t="s">
        <v>3</v>
      </c>
      <c r="E19" t="s">
        <v>4</v>
      </c>
      <c r="F19" t="s">
        <v>5</v>
      </c>
      <c r="G19" t="s">
        <v>6</v>
      </c>
      <c r="N19">
        <v>1.14</v>
      </c>
      <c r="O19">
        <f>2.9046*N19^3-11.2*N19^2+13.338*N19-4.4331</f>
        <v>0.5199927024000015</v>
      </c>
    </row>
    <row r="20" spans="1:15" ht="12.75">
      <c r="A20" s="10">
        <v>85</v>
      </c>
      <c r="B20">
        <f>(A20-offset)/gain</f>
        <v>0.9929964465746631</v>
      </c>
      <c r="C20">
        <v>31873</v>
      </c>
      <c r="D20">
        <v>2027</v>
      </c>
      <c r="E20">
        <v>40</v>
      </c>
      <c r="F20">
        <v>1175</v>
      </c>
      <c r="G20">
        <f>corr200*(E20+F20)/(D20-14*2)</f>
        <v>0.6118646398199099</v>
      </c>
      <c r="N20">
        <f>N19+0.01</f>
        <v>1.15</v>
      </c>
      <c r="O20">
        <f>2.9046*N20^3-11.2*N20^2+13.338*N20-4.4331</f>
        <v>0.511133525</v>
      </c>
    </row>
    <row r="21" spans="1:15" ht="12.75">
      <c r="A21" s="10">
        <v>100</v>
      </c>
      <c r="B21">
        <f>(A21-offset)/gain</f>
        <v>1.1479423188166267</v>
      </c>
      <c r="C21">
        <v>27264</v>
      </c>
      <c r="D21">
        <v>2104</v>
      </c>
      <c r="E21">
        <v>39</v>
      </c>
      <c r="F21">
        <v>1019</v>
      </c>
      <c r="G21">
        <f>corr200*(E21+F21)/(D21-14*2)</f>
        <v>0.5130387755298651</v>
      </c>
      <c r="N21" s="2">
        <f>N20+0.01</f>
        <v>1.16</v>
      </c>
      <c r="O21" s="2">
        <f>2.9046*N21^3-11.2*N21^2+13.338*N21-4.4331</f>
        <v>0.5020385215999994</v>
      </c>
    </row>
    <row r="22" spans="1:15" ht="12.75">
      <c r="A22">
        <v>120</v>
      </c>
      <c r="B22">
        <f>(A22-offset)/gain</f>
        <v>1.3545368151392445</v>
      </c>
      <c r="C22">
        <v>19569</v>
      </c>
      <c r="D22">
        <v>2021</v>
      </c>
      <c r="E22">
        <v>22</v>
      </c>
      <c r="F22">
        <v>578</v>
      </c>
      <c r="G22">
        <f>corr200*(E22+F22)/(D22-14*2)</f>
        <v>0.30306502759658804</v>
      </c>
      <c r="N22">
        <f>N21+0.01</f>
        <v>1.17</v>
      </c>
      <c r="O22">
        <f>2.9046*N22^3-11.2*N22^2+13.338*N22-4.4331</f>
        <v>0.49272511979999933</v>
      </c>
    </row>
    <row r="23" spans="1:15" ht="12.75">
      <c r="A23">
        <v>150</v>
      </c>
      <c r="B23">
        <f>(A23-offset)/gain</f>
        <v>1.6644285596231714</v>
      </c>
      <c r="C23">
        <v>12127</v>
      </c>
      <c r="D23">
        <v>2092</v>
      </c>
      <c r="E23">
        <v>10</v>
      </c>
      <c r="F23">
        <v>262</v>
      </c>
      <c r="G23">
        <f>corr200*(E23+F23)/(D23-14*2)</f>
        <v>0.13266338759689922</v>
      </c>
      <c r="N23">
        <f>N22+0.01</f>
        <v>1.18</v>
      </c>
      <c r="O23">
        <f>2.9046*N23^3-11.2*N23^2+13.338*N23-4.4331</f>
        <v>0.48321074719999935</v>
      </c>
    </row>
    <row r="28" ht="12.75">
      <c r="A28" t="s">
        <v>9</v>
      </c>
    </row>
    <row r="30" spans="1:7" ht="12.75">
      <c r="A30" t="s">
        <v>0</v>
      </c>
      <c r="B30" t="s">
        <v>1</v>
      </c>
      <c r="C30" t="s">
        <v>2</v>
      </c>
      <c r="D30" t="s">
        <v>3</v>
      </c>
      <c r="E30" t="s">
        <v>4</v>
      </c>
      <c r="F30" t="s">
        <v>5</v>
      </c>
      <c r="G30" t="s">
        <v>6</v>
      </c>
    </row>
    <row r="31" spans="1:15" ht="12.75">
      <c r="A31">
        <v>85</v>
      </c>
      <c r="B31">
        <f aca="true" t="shared" si="0" ref="B31:B36">(A31-offset)/gain</f>
        <v>0.9929964465746631</v>
      </c>
      <c r="C31">
        <v>44289</v>
      </c>
      <c r="D31">
        <v>2064</v>
      </c>
      <c r="E31">
        <v>61</v>
      </c>
      <c r="F31">
        <v>1439</v>
      </c>
      <c r="G31">
        <f aca="true" t="shared" si="1" ref="G31:G36">corr200*(E31+F31)/(D31-14*2)</f>
        <v>0.7416608546168958</v>
      </c>
      <c r="N31" s="2">
        <v>1.37</v>
      </c>
      <c r="O31" s="2">
        <f>0.9163*N31^3-3.9617*N31^2+4.8875*N31-1.1131</f>
        <v>0.5031910239000006</v>
      </c>
    </row>
    <row r="32" spans="1:15" ht="12.75">
      <c r="A32" s="1">
        <v>100</v>
      </c>
      <c r="B32">
        <f t="shared" si="0"/>
        <v>1.1479423188166267</v>
      </c>
      <c r="C32">
        <v>36307</v>
      </c>
      <c r="D32">
        <v>1994</v>
      </c>
      <c r="E32">
        <v>48</v>
      </c>
      <c r="F32">
        <v>1190</v>
      </c>
      <c r="G32">
        <f t="shared" si="1"/>
        <v>0.633912043743642</v>
      </c>
      <c r="N32">
        <f aca="true" t="shared" si="2" ref="N32:N37">N31+0.01</f>
        <v>1.3800000000000001</v>
      </c>
      <c r="O32">
        <f aca="true" t="shared" si="3" ref="O32:O37">0.9163*N32^3-3.9617*N32^2+4.8875*N32-1.1131</f>
        <v>0.4950908936000007</v>
      </c>
    </row>
    <row r="33" spans="1:15" ht="12.75">
      <c r="A33">
        <v>120</v>
      </c>
      <c r="B33">
        <f t="shared" si="0"/>
        <v>1.3545368151392445</v>
      </c>
      <c r="C33" s="1">
        <v>29892</v>
      </c>
      <c r="D33" s="1">
        <v>2040</v>
      </c>
      <c r="E33" s="1">
        <v>37</v>
      </c>
      <c r="F33" s="1">
        <v>1049</v>
      </c>
      <c r="G33">
        <f t="shared" si="1"/>
        <v>0.5433675775347913</v>
      </c>
      <c r="N33">
        <f t="shared" si="2"/>
        <v>1.3900000000000001</v>
      </c>
      <c r="O33">
        <f t="shared" si="3"/>
        <v>0.4869571196999998</v>
      </c>
    </row>
    <row r="34" spans="1:15" ht="12.75">
      <c r="A34">
        <v>135</v>
      </c>
      <c r="B34">
        <f t="shared" si="0"/>
        <v>1.509482687381208</v>
      </c>
      <c r="C34" s="1">
        <v>24011</v>
      </c>
      <c r="D34" s="1">
        <v>2055</v>
      </c>
      <c r="E34" s="1">
        <v>31</v>
      </c>
      <c r="F34" s="1">
        <v>752</v>
      </c>
      <c r="G34">
        <f t="shared" si="1"/>
        <v>0.3888659215589541</v>
      </c>
      <c r="N34">
        <f t="shared" si="2"/>
        <v>1.4000000000000001</v>
      </c>
      <c r="O34">
        <f t="shared" si="3"/>
        <v>0.47879519999999975</v>
      </c>
    </row>
    <row r="35" spans="1:15" ht="12.75">
      <c r="A35" s="10">
        <v>150</v>
      </c>
      <c r="B35" s="10">
        <f t="shared" si="0"/>
        <v>1.6644285596231714</v>
      </c>
      <c r="C35" s="11">
        <v>19351</v>
      </c>
      <c r="D35" s="11">
        <v>2000</v>
      </c>
      <c r="E35" s="11">
        <v>22</v>
      </c>
      <c r="F35" s="11">
        <v>487</v>
      </c>
      <c r="G35">
        <f t="shared" si="1"/>
        <v>0.2598380471602434</v>
      </c>
      <c r="N35">
        <f t="shared" si="2"/>
        <v>1.4100000000000001</v>
      </c>
      <c r="O35">
        <f t="shared" si="3"/>
        <v>0.4706106322999999</v>
      </c>
    </row>
    <row r="36" spans="1:15" ht="12.75">
      <c r="A36">
        <v>180</v>
      </c>
      <c r="B36">
        <f t="shared" si="0"/>
        <v>1.9743203041070985</v>
      </c>
      <c r="C36" s="1">
        <v>13360</v>
      </c>
      <c r="D36" s="1">
        <v>2055</v>
      </c>
      <c r="E36" s="1">
        <v>8</v>
      </c>
      <c r="F36" s="1">
        <v>290</v>
      </c>
      <c r="G36">
        <f t="shared" si="1"/>
        <v>0.1479975027133695</v>
      </c>
      <c r="N36">
        <f t="shared" si="2"/>
        <v>1.4200000000000002</v>
      </c>
      <c r="O36">
        <f t="shared" si="3"/>
        <v>0.4624089144000003</v>
      </c>
    </row>
    <row r="37" spans="14:15" ht="12.75">
      <c r="N37">
        <f t="shared" si="2"/>
        <v>1.4300000000000002</v>
      </c>
      <c r="O37">
        <f t="shared" si="3"/>
        <v>0.4541955441000012</v>
      </c>
    </row>
    <row r="41" ht="12.75">
      <c r="A41" t="s">
        <v>10</v>
      </c>
    </row>
    <row r="43" spans="1:7" ht="12.75">
      <c r="A43" t="s">
        <v>0</v>
      </c>
      <c r="B43" t="s">
        <v>1</v>
      </c>
      <c r="C43" t="s">
        <v>2</v>
      </c>
      <c r="D43" t="s">
        <v>3</v>
      </c>
      <c r="E43" t="s">
        <v>4</v>
      </c>
      <c r="F43" t="s">
        <v>5</v>
      </c>
      <c r="G43" t="s">
        <v>6</v>
      </c>
    </row>
    <row r="44" spans="1:15" ht="12.75">
      <c r="A44">
        <v>85</v>
      </c>
      <c r="B44">
        <f aca="true" t="shared" si="4" ref="B44:B50">(A44-offset)/gain</f>
        <v>0.9929964465746631</v>
      </c>
      <c r="C44">
        <v>57989</v>
      </c>
      <c r="D44">
        <v>2052</v>
      </c>
      <c r="E44">
        <v>56</v>
      </c>
      <c r="F44">
        <v>1498</v>
      </c>
      <c r="G44">
        <f aca="true" t="shared" si="5" ref="G44:G50">corr200*(E44+F44)/(D44-14*2)</f>
        <v>0.7729161432806323</v>
      </c>
      <c r="N44">
        <v>1.65</v>
      </c>
      <c r="O44">
        <f>0.2445*N44^3-1.2837*N44^2+1.6763*N44+0.1342</f>
        <v>0.5035463124999994</v>
      </c>
    </row>
    <row r="45" spans="1:15" ht="12.75">
      <c r="A45" s="1">
        <v>100</v>
      </c>
      <c r="B45">
        <f t="shared" si="4"/>
        <v>1.1479423188166267</v>
      </c>
      <c r="C45">
        <v>49587</v>
      </c>
      <c r="D45">
        <v>2036</v>
      </c>
      <c r="E45">
        <v>53</v>
      </c>
      <c r="F45">
        <v>1419</v>
      </c>
      <c r="G45">
        <f t="shared" si="5"/>
        <v>0.7379653545816732</v>
      </c>
      <c r="N45" s="2">
        <f aca="true" t="shared" si="6" ref="N45:N51">N44+0.01</f>
        <v>1.66</v>
      </c>
      <c r="O45" s="2">
        <f aca="true" t="shared" si="7" ref="O45:O51">0.2445*N45^3-1.2837*N45^2+1.6763*N45+0.1342</f>
        <v>0.49790965199999937</v>
      </c>
    </row>
    <row r="46" spans="1:15" ht="12.75">
      <c r="A46">
        <v>120</v>
      </c>
      <c r="B46">
        <f t="shared" si="4"/>
        <v>1.3545368151392445</v>
      </c>
      <c r="C46">
        <v>40438</v>
      </c>
      <c r="D46">
        <v>2001</v>
      </c>
      <c r="E46">
        <v>43</v>
      </c>
      <c r="F46">
        <v>1230</v>
      </c>
      <c r="G46">
        <f t="shared" si="5"/>
        <v>0.6495209898631525</v>
      </c>
      <c r="N46">
        <f t="shared" si="6"/>
        <v>1.67</v>
      </c>
      <c r="O46">
        <f t="shared" si="7"/>
        <v>0.49225977349999994</v>
      </c>
    </row>
    <row r="47" spans="1:15" ht="12.75">
      <c r="A47">
        <v>150</v>
      </c>
      <c r="B47">
        <f t="shared" si="4"/>
        <v>1.6644285596231714</v>
      </c>
      <c r="C47">
        <v>29276</v>
      </c>
      <c r="D47">
        <v>2071</v>
      </c>
      <c r="E47">
        <v>29</v>
      </c>
      <c r="F47">
        <v>1005</v>
      </c>
      <c r="G47">
        <f t="shared" si="5"/>
        <v>0.5094998306412138</v>
      </c>
      <c r="N47">
        <f t="shared" si="6"/>
        <v>1.68</v>
      </c>
      <c r="O47">
        <f t="shared" si="7"/>
        <v>0.4865981439999999</v>
      </c>
    </row>
    <row r="48" spans="1:15" ht="12.75">
      <c r="A48">
        <v>180</v>
      </c>
      <c r="B48">
        <f t="shared" si="4"/>
        <v>1.9743203041070985</v>
      </c>
      <c r="C48">
        <v>21480</v>
      </c>
      <c r="D48">
        <v>1919</v>
      </c>
      <c r="E48">
        <v>21</v>
      </c>
      <c r="F48">
        <v>556</v>
      </c>
      <c r="G48">
        <f t="shared" si="5"/>
        <v>0.3071681316763617</v>
      </c>
      <c r="N48">
        <f t="shared" si="6"/>
        <v>1.69</v>
      </c>
      <c r="O48">
        <f t="shared" si="7"/>
        <v>0.48092623049999983</v>
      </c>
    </row>
    <row r="49" spans="1:15" ht="12.75">
      <c r="A49">
        <v>210</v>
      </c>
      <c r="B49">
        <f t="shared" si="4"/>
        <v>2.284212048591025</v>
      </c>
      <c r="C49">
        <v>15543</v>
      </c>
      <c r="D49">
        <v>2100</v>
      </c>
      <c r="E49">
        <v>18</v>
      </c>
      <c r="F49">
        <v>365</v>
      </c>
      <c r="G49">
        <f t="shared" si="5"/>
        <v>0.18608051303088802</v>
      </c>
      <c r="N49">
        <f t="shared" si="6"/>
        <v>1.7</v>
      </c>
      <c r="O49">
        <f t="shared" si="7"/>
        <v>0.4752454999999999</v>
      </c>
    </row>
    <row r="50" spans="1:15" ht="12.75">
      <c r="A50">
        <v>240</v>
      </c>
      <c r="B50">
        <f t="shared" si="4"/>
        <v>2.5941037930749524</v>
      </c>
      <c r="C50">
        <v>11472</v>
      </c>
      <c r="D50">
        <v>2081</v>
      </c>
      <c r="E50">
        <v>8</v>
      </c>
      <c r="F50">
        <v>217</v>
      </c>
      <c r="G50">
        <f t="shared" si="5"/>
        <v>0.11032792255236239</v>
      </c>
      <c r="N50">
        <f t="shared" si="6"/>
        <v>1.71</v>
      </c>
      <c r="O50">
        <f t="shared" si="7"/>
        <v>0.46955741949999974</v>
      </c>
    </row>
    <row r="51" spans="14:15" ht="12.75">
      <c r="N51">
        <f t="shared" si="6"/>
        <v>1.72</v>
      </c>
      <c r="O51">
        <f t="shared" si="7"/>
        <v>0.46386345599999956</v>
      </c>
    </row>
    <row r="54" ht="12.75">
      <c r="A54" t="s">
        <v>11</v>
      </c>
    </row>
    <row r="56" spans="1:7" ht="12.75">
      <c r="A56" t="s">
        <v>0</v>
      </c>
      <c r="B56" t="s">
        <v>1</v>
      </c>
      <c r="C56" t="s">
        <v>2</v>
      </c>
      <c r="D56" t="s">
        <v>3</v>
      </c>
      <c r="E56" t="s">
        <v>4</v>
      </c>
      <c r="F56" t="s">
        <v>5</v>
      </c>
      <c r="G56" t="s">
        <v>6</v>
      </c>
    </row>
    <row r="57" spans="1:15" ht="12.75">
      <c r="A57" s="11">
        <v>85</v>
      </c>
      <c r="B57" s="11">
        <f aca="true" t="shared" si="8" ref="B57:B64">(A57-offset)/gain</f>
        <v>0.9929964465746631</v>
      </c>
      <c r="C57" s="11">
        <v>65905</v>
      </c>
      <c r="D57" s="11">
        <v>2013</v>
      </c>
      <c r="E57" s="11">
        <v>67</v>
      </c>
      <c r="F57" s="11">
        <v>1556</v>
      </c>
      <c r="G57">
        <f aca="true" t="shared" si="9" ref="G57:G64">corr200*(E57+F57)/(D57-14*2)</f>
        <v>0.8230948428211586</v>
      </c>
      <c r="N57">
        <v>1.8</v>
      </c>
      <c r="O57">
        <f>0.1434*N57^3-0.8074*N57^2+1.0222*N57+0.4565</f>
        <v>0.5167927999999998</v>
      </c>
    </row>
    <row r="58" spans="1:15" ht="12.75">
      <c r="A58" s="1">
        <v>100</v>
      </c>
      <c r="B58">
        <f t="shared" si="8"/>
        <v>1.1479423188166267</v>
      </c>
      <c r="C58">
        <v>57257</v>
      </c>
      <c r="D58">
        <v>2134</v>
      </c>
      <c r="E58">
        <v>43</v>
      </c>
      <c r="F58">
        <v>1561</v>
      </c>
      <c r="G58">
        <f t="shared" si="9"/>
        <v>0.7667219012345678</v>
      </c>
      <c r="N58">
        <f aca="true" t="shared" si="10" ref="N58:N65">N57+0.01</f>
        <v>1.81</v>
      </c>
      <c r="O58">
        <f aca="true" t="shared" si="11" ref="O58:O65">0.1434*N58^3-0.8074*N58^2+1.0222*N58+0.4565</f>
        <v>0.5118837194000002</v>
      </c>
    </row>
    <row r="59" spans="1:15" ht="12.75">
      <c r="A59">
        <v>120</v>
      </c>
      <c r="B59">
        <f t="shared" si="8"/>
        <v>1.3545368151392445</v>
      </c>
      <c r="C59">
        <v>46087</v>
      </c>
      <c r="D59">
        <v>1971</v>
      </c>
      <c r="E59">
        <v>53</v>
      </c>
      <c r="F59">
        <v>1339</v>
      </c>
      <c r="G59">
        <f t="shared" si="9"/>
        <v>0.7212042985074626</v>
      </c>
      <c r="N59">
        <f t="shared" si="10"/>
        <v>1.82</v>
      </c>
      <c r="O59">
        <f t="shared" si="11"/>
        <v>0.5069688912000002</v>
      </c>
    </row>
    <row r="60" spans="1:15" ht="12.75">
      <c r="A60">
        <v>150</v>
      </c>
      <c r="B60">
        <f t="shared" si="8"/>
        <v>1.6644285596231714</v>
      </c>
      <c r="C60">
        <v>35208</v>
      </c>
      <c r="D60">
        <v>1995</v>
      </c>
      <c r="E60">
        <v>32</v>
      </c>
      <c r="F60">
        <v>1140</v>
      </c>
      <c r="G60">
        <f t="shared" si="9"/>
        <v>0.5998119633960345</v>
      </c>
      <c r="N60" s="2">
        <f t="shared" si="10"/>
        <v>1.83</v>
      </c>
      <c r="O60" s="2">
        <f t="shared" si="11"/>
        <v>0.5020491758</v>
      </c>
    </row>
    <row r="61" spans="1:15" ht="12.75">
      <c r="A61">
        <v>180</v>
      </c>
      <c r="B61">
        <f t="shared" si="8"/>
        <v>1.9743203041070985</v>
      </c>
      <c r="C61">
        <v>26331</v>
      </c>
      <c r="D61">
        <v>2066</v>
      </c>
      <c r="E61">
        <v>34</v>
      </c>
      <c r="F61">
        <v>800</v>
      </c>
      <c r="G61">
        <f t="shared" si="9"/>
        <v>0.4119587605495583</v>
      </c>
      <c r="N61">
        <f t="shared" si="10"/>
        <v>1.84</v>
      </c>
      <c r="O61">
        <f t="shared" si="11"/>
        <v>0.49712543360000006</v>
      </c>
    </row>
    <row r="62" spans="1:15" ht="12.75">
      <c r="A62">
        <v>210</v>
      </c>
      <c r="B62">
        <f t="shared" si="8"/>
        <v>2.284212048591025</v>
      </c>
      <c r="C62">
        <v>20108</v>
      </c>
      <c r="D62">
        <v>1944</v>
      </c>
      <c r="E62">
        <v>17</v>
      </c>
      <c r="F62">
        <v>532</v>
      </c>
      <c r="G62">
        <f t="shared" si="9"/>
        <v>0.28844878340292274</v>
      </c>
      <c r="N62">
        <f t="shared" si="10"/>
        <v>1.85</v>
      </c>
      <c r="O62">
        <f t="shared" si="11"/>
        <v>0.49219852499999994</v>
      </c>
    </row>
    <row r="63" spans="1:15" ht="12.75">
      <c r="A63">
        <v>240</v>
      </c>
      <c r="B63">
        <f t="shared" si="8"/>
        <v>2.5941037930749524</v>
      </c>
      <c r="C63">
        <v>15574</v>
      </c>
      <c r="D63">
        <v>1996</v>
      </c>
      <c r="E63">
        <v>14</v>
      </c>
      <c r="F63">
        <v>350</v>
      </c>
      <c r="G63">
        <f t="shared" si="9"/>
        <v>0.18619506300813007</v>
      </c>
      <c r="N63">
        <f t="shared" si="10"/>
        <v>1.86</v>
      </c>
      <c r="O63">
        <f t="shared" si="11"/>
        <v>0.48726931039999977</v>
      </c>
    </row>
    <row r="64" spans="1:15" ht="12.75">
      <c r="A64">
        <v>270</v>
      </c>
      <c r="B64">
        <f t="shared" si="8"/>
        <v>2.9039955375588793</v>
      </c>
      <c r="C64">
        <v>11673</v>
      </c>
      <c r="D64">
        <v>1924</v>
      </c>
      <c r="E64">
        <v>11</v>
      </c>
      <c r="F64">
        <v>224</v>
      </c>
      <c r="G64">
        <f t="shared" si="9"/>
        <v>0.12477322521097046</v>
      </c>
      <c r="N64">
        <f t="shared" si="10"/>
        <v>1.87</v>
      </c>
      <c r="O64">
        <f t="shared" si="11"/>
        <v>0.4823386501999999</v>
      </c>
    </row>
    <row r="65" spans="14:15" ht="12.75">
      <c r="N65">
        <f t="shared" si="10"/>
        <v>1.8800000000000001</v>
      </c>
      <c r="O65">
        <f t="shared" si="11"/>
        <v>0.4774074048</v>
      </c>
    </row>
    <row r="69" spans="1:4" ht="12.75">
      <c r="A69" t="s">
        <v>13</v>
      </c>
      <c r="C69" s="3"/>
      <c r="D69" s="3"/>
    </row>
    <row r="71" spans="1:7" ht="12.75">
      <c r="A71" t="s">
        <v>0</v>
      </c>
      <c r="B71" t="s">
        <v>1</v>
      </c>
      <c r="C71" t="s">
        <v>2</v>
      </c>
      <c r="D71" t="s">
        <v>3</v>
      </c>
      <c r="E71" t="s">
        <v>4</v>
      </c>
      <c r="F71" t="s">
        <v>5</v>
      </c>
      <c r="G71" t="s">
        <v>6</v>
      </c>
    </row>
    <row r="72" spans="1:15" ht="12.75">
      <c r="A72" s="10">
        <v>85</v>
      </c>
      <c r="B72" s="10">
        <f aca="true" t="shared" si="12" ref="B72:B79">(A72-offset)/gain</f>
        <v>0.9929964465746631</v>
      </c>
      <c r="C72">
        <v>69889</v>
      </c>
      <c r="D72">
        <v>2053</v>
      </c>
      <c r="E72">
        <v>76</v>
      </c>
      <c r="F72">
        <v>1557</v>
      </c>
      <c r="G72">
        <f aca="true" t="shared" si="13" ref="G72:G79">corr200*(E72+F72)/(D72-14*2)</f>
        <v>0.81180744345679</v>
      </c>
      <c r="N72">
        <v>2</v>
      </c>
      <c r="O72">
        <f>0.1313*N72^3-0.8134*N72^2+1.2117*N72+0.2873</f>
        <v>0.5075000000000002</v>
      </c>
    </row>
    <row r="73" spans="1:15" ht="12.75">
      <c r="A73" s="1">
        <v>100</v>
      </c>
      <c r="B73">
        <f t="shared" si="12"/>
        <v>1.1479423188166267</v>
      </c>
      <c r="C73">
        <v>60212</v>
      </c>
      <c r="D73">
        <v>2038</v>
      </c>
      <c r="E73">
        <v>69</v>
      </c>
      <c r="F73">
        <v>1561</v>
      </c>
      <c r="G73">
        <f t="shared" si="13"/>
        <v>0.816363199004975</v>
      </c>
      <c r="N73">
        <f aca="true" t="shared" si="14" ref="N73:N80">N72+0.01</f>
        <v>2.01</v>
      </c>
      <c r="O73">
        <f aca="true" t="shared" si="15" ref="O73:O80">0.1313*N73^3-0.8134*N73^2+1.2117*N73+0.2873</f>
        <v>0.5028345713000005</v>
      </c>
    </row>
    <row r="74" spans="1:15" ht="12.75">
      <c r="A74">
        <v>120</v>
      </c>
      <c r="B74">
        <f t="shared" si="12"/>
        <v>1.3545368151392445</v>
      </c>
      <c r="C74">
        <v>50715</v>
      </c>
      <c r="D74">
        <v>2114</v>
      </c>
      <c r="E74">
        <v>63</v>
      </c>
      <c r="F74">
        <v>1502</v>
      </c>
      <c r="G74">
        <f t="shared" si="13"/>
        <v>0.7552520445829338</v>
      </c>
      <c r="N74" s="2">
        <f t="shared" si="14"/>
        <v>2.0199999999999996</v>
      </c>
      <c r="O74" s="2">
        <f t="shared" si="15"/>
        <v>0.49816481039999994</v>
      </c>
    </row>
    <row r="75" spans="1:15" ht="12.75">
      <c r="A75">
        <v>150</v>
      </c>
      <c r="B75">
        <f t="shared" si="12"/>
        <v>1.6644285596231714</v>
      </c>
      <c r="C75">
        <v>39404</v>
      </c>
      <c r="D75">
        <v>1985</v>
      </c>
      <c r="E75">
        <v>42</v>
      </c>
      <c r="F75">
        <v>1237</v>
      </c>
      <c r="G75">
        <f t="shared" si="13"/>
        <v>0.6579177307102708</v>
      </c>
      <c r="N75">
        <f t="shared" si="14"/>
        <v>2.0299999999999994</v>
      </c>
      <c r="O75">
        <f t="shared" si="15"/>
        <v>0.4934915051000005</v>
      </c>
    </row>
    <row r="76" spans="1:15" ht="12.75">
      <c r="A76">
        <v>180</v>
      </c>
      <c r="B76">
        <f t="shared" si="12"/>
        <v>1.9743203041070985</v>
      </c>
      <c r="C76">
        <v>30402</v>
      </c>
      <c r="D76">
        <v>2078</v>
      </c>
      <c r="E76">
        <v>41</v>
      </c>
      <c r="F76">
        <v>1002</v>
      </c>
      <c r="G76">
        <f t="shared" si="13"/>
        <v>0.5121796502439024</v>
      </c>
      <c r="N76">
        <f t="shared" si="14"/>
        <v>2.039999999999999</v>
      </c>
      <c r="O76">
        <f t="shared" si="15"/>
        <v>0.4888154431999999</v>
      </c>
    </row>
    <row r="77" spans="1:15" ht="12.75">
      <c r="A77">
        <v>210</v>
      </c>
      <c r="B77">
        <f t="shared" si="12"/>
        <v>2.284212048591025</v>
      </c>
      <c r="C77">
        <v>23588</v>
      </c>
      <c r="D77">
        <v>1938</v>
      </c>
      <c r="E77">
        <v>22</v>
      </c>
      <c r="F77">
        <v>713</v>
      </c>
      <c r="G77">
        <f t="shared" si="13"/>
        <v>0.38738771465968586</v>
      </c>
      <c r="N77">
        <f t="shared" si="14"/>
        <v>2.049999999999999</v>
      </c>
      <c r="O77">
        <f t="shared" si="15"/>
        <v>0.48413741250000075</v>
      </c>
    </row>
    <row r="78" spans="1:15" ht="12.75">
      <c r="A78">
        <v>240</v>
      </c>
      <c r="B78">
        <f t="shared" si="12"/>
        <v>2.5941037930749524</v>
      </c>
      <c r="C78">
        <v>18118</v>
      </c>
      <c r="D78">
        <v>2164</v>
      </c>
      <c r="E78">
        <v>17</v>
      </c>
      <c r="F78">
        <v>494</v>
      </c>
      <c r="G78">
        <f t="shared" si="13"/>
        <v>0.24083052013108613</v>
      </c>
      <c r="N78">
        <f t="shared" si="14"/>
        <v>2.0599999999999987</v>
      </c>
      <c r="O78">
        <f t="shared" si="15"/>
        <v>0.4794582008000007</v>
      </c>
    </row>
    <row r="79" spans="1:15" ht="12.75">
      <c r="A79">
        <v>270</v>
      </c>
      <c r="B79">
        <f t="shared" si="12"/>
        <v>2.9039955375588793</v>
      </c>
      <c r="C79">
        <v>14426</v>
      </c>
      <c r="D79">
        <v>2059</v>
      </c>
      <c r="E79">
        <v>11</v>
      </c>
      <c r="F79">
        <v>318</v>
      </c>
      <c r="G79">
        <f t="shared" si="13"/>
        <v>0.16307141752831117</v>
      </c>
      <c r="N79">
        <f t="shared" si="14"/>
        <v>2.0699999999999985</v>
      </c>
      <c r="O79">
        <f t="shared" si="15"/>
        <v>0.4747785959000005</v>
      </c>
    </row>
    <row r="80" spans="14:15" ht="12.75">
      <c r="N80">
        <f t="shared" si="14"/>
        <v>2.0799999999999983</v>
      </c>
      <c r="O80">
        <f t="shared" si="15"/>
        <v>0.4700993856000014</v>
      </c>
    </row>
    <row r="85" spans="1:4" ht="12.75">
      <c r="A85" t="s">
        <v>26</v>
      </c>
      <c r="C85" s="3"/>
      <c r="D85" s="3"/>
    </row>
    <row r="87" spans="1:7" ht="12.75">
      <c r="A87" t="s">
        <v>0</v>
      </c>
      <c r="B87" t="s">
        <v>1</v>
      </c>
      <c r="C87" t="s">
        <v>2</v>
      </c>
      <c r="D87" t="s">
        <v>3</v>
      </c>
      <c r="E87" t="s">
        <v>4</v>
      </c>
      <c r="F87" t="s">
        <v>5</v>
      </c>
      <c r="G87" t="s">
        <v>6</v>
      </c>
    </row>
    <row r="88" spans="1:15" ht="12.75">
      <c r="A88">
        <v>85</v>
      </c>
      <c r="B88">
        <f aca="true" t="shared" si="16" ref="B88:B95">(A88-offset)/gain</f>
        <v>0.9929964465746631</v>
      </c>
      <c r="C88">
        <v>74305</v>
      </c>
      <c r="D88">
        <v>2030</v>
      </c>
      <c r="E88">
        <v>70</v>
      </c>
      <c r="F88">
        <v>1539</v>
      </c>
      <c r="G88">
        <f aca="true" t="shared" si="17" ref="G88:G95">corr200*(E88+F88)/(D88-14*2)</f>
        <v>0.8090657987012987</v>
      </c>
      <c r="N88">
        <v>2.2</v>
      </c>
      <c r="O88">
        <f>0.0709*N88^3-0.4932*N88^2+0.7598*N88+0.4739</f>
        <v>0.5133152000000001</v>
      </c>
    </row>
    <row r="89" spans="1:15" ht="12.75">
      <c r="A89">
        <v>120</v>
      </c>
      <c r="B89">
        <f t="shared" si="16"/>
        <v>1.3545368151392445</v>
      </c>
      <c r="C89">
        <v>56306</v>
      </c>
      <c r="D89">
        <v>1985</v>
      </c>
      <c r="E89">
        <v>66</v>
      </c>
      <c r="F89">
        <v>1451</v>
      </c>
      <c r="G89">
        <f t="shared" si="17"/>
        <v>0.7803449550332141</v>
      </c>
      <c r="N89">
        <f aca="true" t="shared" si="18" ref="N89:N96">N88+0.01</f>
        <v>2.21</v>
      </c>
      <c r="O89">
        <f aca="true" t="shared" si="19" ref="O89:O96">0.0709*N89^3-0.4932*N89^2+0.7598*N89+0.4739</f>
        <v>0.5095046249000001</v>
      </c>
    </row>
    <row r="90" spans="1:15" ht="12.75">
      <c r="A90">
        <v>150</v>
      </c>
      <c r="B90">
        <f t="shared" si="16"/>
        <v>1.6644285596231714</v>
      </c>
      <c r="C90">
        <v>44610</v>
      </c>
      <c r="D90">
        <v>1939</v>
      </c>
      <c r="E90">
        <v>46</v>
      </c>
      <c r="F90">
        <v>1282</v>
      </c>
      <c r="G90">
        <f t="shared" si="17"/>
        <v>0.6995669115646258</v>
      </c>
      <c r="N90">
        <f t="shared" si="18"/>
        <v>2.2199999999999998</v>
      </c>
      <c r="O90">
        <f t="shared" si="19"/>
        <v>0.5056894232000002</v>
      </c>
    </row>
    <row r="91" spans="1:15" ht="12.75">
      <c r="A91">
        <v>180</v>
      </c>
      <c r="B91">
        <f t="shared" si="16"/>
        <v>1.9743203041070985</v>
      </c>
      <c r="C91">
        <v>35897</v>
      </c>
      <c r="D91">
        <v>2043</v>
      </c>
      <c r="E91">
        <v>45</v>
      </c>
      <c r="F91">
        <v>1133</v>
      </c>
      <c r="G91">
        <f t="shared" si="17"/>
        <v>0.5885212</v>
      </c>
      <c r="N91" s="2">
        <f t="shared" si="18"/>
        <v>2.2299999999999995</v>
      </c>
      <c r="O91" s="2">
        <f t="shared" si="19"/>
        <v>0.5018700202999997</v>
      </c>
    </row>
    <row r="92" spans="1:15" ht="12.75">
      <c r="A92">
        <v>210</v>
      </c>
      <c r="B92">
        <f t="shared" si="16"/>
        <v>2.284212048591025</v>
      </c>
      <c r="C92">
        <v>29139</v>
      </c>
      <c r="D92">
        <v>2074</v>
      </c>
      <c r="E92">
        <v>35</v>
      </c>
      <c r="F92">
        <v>950</v>
      </c>
      <c r="G92">
        <f t="shared" si="17"/>
        <v>0.4846435899315738</v>
      </c>
      <c r="N92">
        <f t="shared" si="18"/>
        <v>2.2399999999999993</v>
      </c>
      <c r="O92">
        <f t="shared" si="19"/>
        <v>0.4980468416000001</v>
      </c>
    </row>
    <row r="93" spans="1:15" ht="12.75">
      <c r="A93">
        <v>240</v>
      </c>
      <c r="B93">
        <f t="shared" si="16"/>
        <v>2.5941037930749524</v>
      </c>
      <c r="C93">
        <v>23474</v>
      </c>
      <c r="D93">
        <v>1978</v>
      </c>
      <c r="E93">
        <v>25</v>
      </c>
      <c r="F93">
        <v>682</v>
      </c>
      <c r="G93">
        <f t="shared" si="17"/>
        <v>0.36498639333333327</v>
      </c>
      <c r="N93">
        <f t="shared" si="18"/>
        <v>2.249999999999999</v>
      </c>
      <c r="O93">
        <f t="shared" si="19"/>
        <v>0.4942203125000002</v>
      </c>
    </row>
    <row r="94" spans="1:15" ht="12.75">
      <c r="A94">
        <v>270</v>
      </c>
      <c r="B94">
        <f t="shared" si="16"/>
        <v>2.9039955375588793</v>
      </c>
      <c r="C94">
        <v>18430</v>
      </c>
      <c r="D94">
        <v>2012</v>
      </c>
      <c r="E94">
        <v>13</v>
      </c>
      <c r="F94">
        <v>496</v>
      </c>
      <c r="G94">
        <f t="shared" si="17"/>
        <v>0.25826644606854837</v>
      </c>
      <c r="N94">
        <f t="shared" si="18"/>
        <v>2.259999999999999</v>
      </c>
      <c r="O94">
        <f t="shared" si="19"/>
        <v>0.4903908584000003</v>
      </c>
    </row>
    <row r="95" spans="1:15" ht="12.75">
      <c r="A95">
        <v>300</v>
      </c>
      <c r="B95">
        <f t="shared" si="16"/>
        <v>3.213887282042806</v>
      </c>
      <c r="C95">
        <v>14560</v>
      </c>
      <c r="D95">
        <v>2047</v>
      </c>
      <c r="E95">
        <v>12</v>
      </c>
      <c r="F95">
        <v>337</v>
      </c>
      <c r="G95">
        <f t="shared" si="17"/>
        <v>0.17401271371966318</v>
      </c>
      <c r="N95">
        <f t="shared" si="18"/>
        <v>2.2699999999999987</v>
      </c>
      <c r="O95">
        <f t="shared" si="19"/>
        <v>0.4865589047000005</v>
      </c>
    </row>
    <row r="96" spans="14:15" ht="12.75">
      <c r="N96">
        <f t="shared" si="18"/>
        <v>2.2799999999999985</v>
      </c>
      <c r="O96">
        <f t="shared" si="19"/>
        <v>0.48272487680000054</v>
      </c>
    </row>
    <row r="99" spans="1:4" ht="12.75">
      <c r="A99" t="s">
        <v>28</v>
      </c>
      <c r="C99" s="3"/>
      <c r="D99" s="3"/>
    </row>
    <row r="101" spans="1:7" ht="12.75">
      <c r="A101" t="s">
        <v>0</v>
      </c>
      <c r="B101" t="s">
        <v>1</v>
      </c>
      <c r="C101" t="s">
        <v>2</v>
      </c>
      <c r="D101" t="s">
        <v>3</v>
      </c>
      <c r="E101" t="s">
        <v>4</v>
      </c>
      <c r="F101" t="s">
        <v>5</v>
      </c>
      <c r="G101" t="s">
        <v>6</v>
      </c>
    </row>
    <row r="102" spans="1:15" ht="12.75">
      <c r="A102">
        <v>85</v>
      </c>
      <c r="B102">
        <f aca="true" t="shared" si="20" ref="B102:B109">(A102-offset)/gain</f>
        <v>0.9929964465746631</v>
      </c>
      <c r="C102">
        <v>76849</v>
      </c>
      <c r="D102">
        <v>1945</v>
      </c>
      <c r="E102">
        <v>62</v>
      </c>
      <c r="F102">
        <v>1512</v>
      </c>
      <c r="G102">
        <f aca="true" t="shared" si="21" ref="G102:G109">corr200*(E102+F102)/(D102-14*2)</f>
        <v>0.8265601950965049</v>
      </c>
      <c r="N102">
        <v>2.4</v>
      </c>
      <c r="O102">
        <f>0.0382*N102^3-0.2997*N102^2+0.4445*N102+0.643</f>
        <v>0.5116048</v>
      </c>
    </row>
    <row r="103" spans="1:15" ht="12.75">
      <c r="A103">
        <v>150</v>
      </c>
      <c r="B103">
        <f t="shared" si="20"/>
        <v>1.6644285596231714</v>
      </c>
      <c r="C103">
        <v>47564</v>
      </c>
      <c r="D103">
        <v>2004</v>
      </c>
      <c r="E103">
        <v>44</v>
      </c>
      <c r="F103">
        <v>1374</v>
      </c>
      <c r="G103">
        <f t="shared" si="21"/>
        <v>0.722405697368421</v>
      </c>
      <c r="N103">
        <f aca="true" t="shared" si="22" ref="N103:N109">N102+0.01</f>
        <v>2.4099999999999997</v>
      </c>
      <c r="O103">
        <f aca="true" t="shared" si="23" ref="O103:O109">0.0382*N103^3-0.2997*N103^2+0.4445*N103+0.643</f>
        <v>0.5082627321999997</v>
      </c>
    </row>
    <row r="104" spans="1:15" ht="12.75">
      <c r="A104">
        <v>180</v>
      </c>
      <c r="B104">
        <f t="shared" si="20"/>
        <v>1.9743203041070985</v>
      </c>
      <c r="C104">
        <v>38502</v>
      </c>
      <c r="D104">
        <v>1968</v>
      </c>
      <c r="E104">
        <v>39</v>
      </c>
      <c r="F104">
        <v>1235</v>
      </c>
      <c r="G104">
        <f t="shared" si="21"/>
        <v>0.6610884505154638</v>
      </c>
      <c r="N104">
        <f t="shared" si="22"/>
        <v>2.4199999999999995</v>
      </c>
      <c r="O104">
        <f t="shared" si="23"/>
        <v>0.5049159616000001</v>
      </c>
    </row>
    <row r="105" spans="1:15" ht="12.75">
      <c r="A105">
        <v>210</v>
      </c>
      <c r="B105">
        <f t="shared" si="20"/>
        <v>2.284212048591025</v>
      </c>
      <c r="C105">
        <v>31840</v>
      </c>
      <c r="D105">
        <v>2053</v>
      </c>
      <c r="E105">
        <v>38</v>
      </c>
      <c r="F105">
        <v>1044</v>
      </c>
      <c r="G105">
        <f t="shared" si="21"/>
        <v>0.5378907861728395</v>
      </c>
      <c r="N105" s="2">
        <f t="shared" si="22"/>
        <v>2.4299999999999993</v>
      </c>
      <c r="O105" s="2">
        <f t="shared" si="23"/>
        <v>0.5015647174</v>
      </c>
    </row>
    <row r="106" spans="1:15" ht="12.75">
      <c r="A106">
        <v>240</v>
      </c>
      <c r="B106">
        <f t="shared" si="20"/>
        <v>2.5941037930749524</v>
      </c>
      <c r="C106">
        <v>26199</v>
      </c>
      <c r="D106">
        <v>2050</v>
      </c>
      <c r="E106">
        <v>38</v>
      </c>
      <c r="F106">
        <v>852</v>
      </c>
      <c r="G106">
        <f t="shared" si="21"/>
        <v>0.4430989564787339</v>
      </c>
      <c r="N106">
        <f t="shared" si="22"/>
        <v>2.439999999999999</v>
      </c>
      <c r="O106">
        <f t="shared" si="23"/>
        <v>0.4982092288000004</v>
      </c>
    </row>
    <row r="107" spans="1:15" ht="12.75">
      <c r="A107">
        <v>270</v>
      </c>
      <c r="B107">
        <f t="shared" si="20"/>
        <v>2.9039955375588793</v>
      </c>
      <c r="C107">
        <v>21390</v>
      </c>
      <c r="D107">
        <v>2078</v>
      </c>
      <c r="E107">
        <v>30</v>
      </c>
      <c r="F107">
        <v>678</v>
      </c>
      <c r="G107">
        <f t="shared" si="21"/>
        <v>0.3476732429268293</v>
      </c>
      <c r="N107">
        <f t="shared" si="22"/>
        <v>2.449999999999999</v>
      </c>
      <c r="O107">
        <f t="shared" si="23"/>
        <v>0.49484972500000013</v>
      </c>
    </row>
    <row r="108" spans="1:15" ht="12.75">
      <c r="A108">
        <v>300</v>
      </c>
      <c r="B108">
        <f t="shared" si="20"/>
        <v>3.213887282042806</v>
      </c>
      <c r="C108">
        <v>17262</v>
      </c>
      <c r="D108">
        <v>1974</v>
      </c>
      <c r="E108">
        <v>24</v>
      </c>
      <c r="F108">
        <v>440</v>
      </c>
      <c r="G108">
        <f t="shared" si="21"/>
        <v>0.24003082425488179</v>
      </c>
      <c r="N108">
        <f t="shared" si="22"/>
        <v>2.4599999999999986</v>
      </c>
      <c r="O108">
        <f t="shared" si="23"/>
        <v>0.49148643520000035</v>
      </c>
    </row>
    <row r="109" spans="1:15" ht="12.75">
      <c r="A109">
        <v>330</v>
      </c>
      <c r="B109">
        <f t="shared" si="20"/>
        <v>3.523779026526733</v>
      </c>
      <c r="C109">
        <v>14306</v>
      </c>
      <c r="D109">
        <v>1984</v>
      </c>
      <c r="E109">
        <v>11</v>
      </c>
      <c r="F109">
        <v>295</v>
      </c>
      <c r="G109">
        <f t="shared" si="21"/>
        <v>0.15748690490797546</v>
      </c>
      <c r="N109">
        <f t="shared" si="22"/>
        <v>2.4699999999999984</v>
      </c>
      <c r="O109">
        <f t="shared" si="23"/>
        <v>0.4881195886000005</v>
      </c>
    </row>
    <row r="114" spans="1:4" ht="12.75">
      <c r="A114" t="s">
        <v>15</v>
      </c>
      <c r="C114" s="3"/>
      <c r="D114" s="3"/>
    </row>
    <row r="116" spans="1:7" ht="12.75">
      <c r="A116" t="s">
        <v>0</v>
      </c>
      <c r="B116" t="s">
        <v>1</v>
      </c>
      <c r="C116" t="s">
        <v>2</v>
      </c>
      <c r="D116" t="s">
        <v>3</v>
      </c>
      <c r="E116" t="s">
        <v>4</v>
      </c>
      <c r="F116" t="s">
        <v>5</v>
      </c>
      <c r="G116" t="s">
        <v>6</v>
      </c>
    </row>
    <row r="117" spans="1:15" ht="12.75">
      <c r="A117">
        <v>85</v>
      </c>
      <c r="B117">
        <f aca="true" t="shared" si="24" ref="B117:B124">(A117-offset)/gain</f>
        <v>0.9929964465746631</v>
      </c>
      <c r="C117">
        <v>78246</v>
      </c>
      <c r="D117">
        <v>2061</v>
      </c>
      <c r="E117">
        <v>66</v>
      </c>
      <c r="F117">
        <v>1575</v>
      </c>
      <c r="G117">
        <f aca="true" t="shared" si="25" ref="G117:G124">corr200*(E117+F117)/(D117-14*2)</f>
        <v>0.812574284800787</v>
      </c>
      <c r="N117">
        <v>2.5</v>
      </c>
      <c r="O117">
        <f>0.048*N117^3-0.3785*N117^2+0.6538*N117+0.4867</f>
        <v>0.505575</v>
      </c>
    </row>
    <row r="118" spans="1:15" ht="12.75">
      <c r="A118" s="10">
        <v>150</v>
      </c>
      <c r="B118" s="10">
        <f t="shared" si="24"/>
        <v>1.6644285596231714</v>
      </c>
      <c r="C118">
        <v>49218</v>
      </c>
      <c r="D118">
        <v>2066</v>
      </c>
      <c r="E118">
        <v>52</v>
      </c>
      <c r="F118">
        <v>1426</v>
      </c>
      <c r="G118">
        <f t="shared" si="25"/>
        <v>0.7300660049067713</v>
      </c>
      <c r="N118">
        <f aca="true" t="shared" si="26" ref="N118:N124">N117+0.01</f>
        <v>2.51</v>
      </c>
      <c r="O118">
        <f aca="true" t="shared" si="27" ref="O118:O124">0.048*N118^3-0.3785*N118^2+0.6538*N118+0.4867</f>
        <v>0.5021861980000003</v>
      </c>
    </row>
    <row r="119" spans="1:15" ht="12.75">
      <c r="A119">
        <v>180</v>
      </c>
      <c r="B119">
        <f t="shared" si="24"/>
        <v>1.9743203041070985</v>
      </c>
      <c r="C119">
        <v>40393</v>
      </c>
      <c r="D119">
        <v>2026</v>
      </c>
      <c r="E119">
        <v>48</v>
      </c>
      <c r="F119">
        <v>1315</v>
      </c>
      <c r="G119">
        <f t="shared" si="25"/>
        <v>0.6867398413413413</v>
      </c>
      <c r="N119" s="2">
        <f t="shared" si="26"/>
        <v>2.5199999999999996</v>
      </c>
      <c r="O119" s="2">
        <f t="shared" si="27"/>
        <v>0.4987939840000001</v>
      </c>
    </row>
    <row r="120" spans="1:15" ht="12.75">
      <c r="A120">
        <v>210</v>
      </c>
      <c r="B120">
        <f t="shared" si="24"/>
        <v>2.284212048591025</v>
      </c>
      <c r="C120">
        <v>33937</v>
      </c>
      <c r="D120">
        <v>2052</v>
      </c>
      <c r="E120">
        <v>42</v>
      </c>
      <c r="F120">
        <v>1140</v>
      </c>
      <c r="G120">
        <f t="shared" si="25"/>
        <v>0.5878937460474307</v>
      </c>
      <c r="N120">
        <f t="shared" si="26"/>
        <v>2.5299999999999994</v>
      </c>
      <c r="O120">
        <f t="shared" si="27"/>
        <v>0.4953986460000003</v>
      </c>
    </row>
    <row r="121" spans="1:15" ht="12.75">
      <c r="A121">
        <v>240</v>
      </c>
      <c r="B121">
        <f t="shared" si="24"/>
        <v>2.5941037930749524</v>
      </c>
      <c r="C121">
        <v>30323</v>
      </c>
      <c r="D121">
        <v>2010</v>
      </c>
      <c r="E121">
        <v>31</v>
      </c>
      <c r="F121">
        <v>886</v>
      </c>
      <c r="G121">
        <f t="shared" si="25"/>
        <v>0.4657550338042381</v>
      </c>
      <c r="N121">
        <f t="shared" si="26"/>
        <v>2.539999999999999</v>
      </c>
      <c r="O121">
        <f t="shared" si="27"/>
        <v>0.49200047200000074</v>
      </c>
    </row>
    <row r="122" spans="1:15" ht="12.75">
      <c r="A122">
        <v>270</v>
      </c>
      <c r="B122">
        <f t="shared" si="24"/>
        <v>2.9039955375588793</v>
      </c>
      <c r="C122">
        <v>23122</v>
      </c>
      <c r="D122">
        <v>2023</v>
      </c>
      <c r="E122">
        <v>18</v>
      </c>
      <c r="F122">
        <v>706</v>
      </c>
      <c r="G122">
        <f t="shared" si="25"/>
        <v>0.36533185162907267</v>
      </c>
      <c r="N122">
        <f t="shared" si="26"/>
        <v>2.549999999999999</v>
      </c>
      <c r="O122">
        <f t="shared" si="27"/>
        <v>0.48859975000000067</v>
      </c>
    </row>
    <row r="123" spans="1:15" ht="12.75">
      <c r="A123">
        <v>300</v>
      </c>
      <c r="B123">
        <f t="shared" si="24"/>
        <v>3.213887282042806</v>
      </c>
      <c r="C123">
        <v>20856</v>
      </c>
      <c r="D123">
        <v>1861</v>
      </c>
      <c r="E123">
        <v>16</v>
      </c>
      <c r="F123">
        <v>482</v>
      </c>
      <c r="G123">
        <f t="shared" si="25"/>
        <v>0.2735008936170213</v>
      </c>
      <c r="N123">
        <f t="shared" si="26"/>
        <v>2.5599999999999987</v>
      </c>
      <c r="O123">
        <f t="shared" si="27"/>
        <v>0.4851967680000008</v>
      </c>
    </row>
    <row r="124" spans="1:15" ht="12.75">
      <c r="A124">
        <v>330</v>
      </c>
      <c r="B124">
        <f t="shared" si="24"/>
        <v>3.523779026526733</v>
      </c>
      <c r="C124">
        <v>15376</v>
      </c>
      <c r="D124">
        <v>2046</v>
      </c>
      <c r="E124">
        <v>13</v>
      </c>
      <c r="F124">
        <v>376</v>
      </c>
      <c r="G124">
        <f t="shared" si="25"/>
        <v>0.19405297770069374</v>
      </c>
      <c r="N124">
        <f t="shared" si="26"/>
        <v>2.5699999999999985</v>
      </c>
      <c r="O124">
        <f t="shared" si="27"/>
        <v>0.4817918140000007</v>
      </c>
    </row>
    <row r="129" spans="1:4" ht="12.75">
      <c r="A129" t="s">
        <v>31</v>
      </c>
      <c r="C129" s="3"/>
      <c r="D129" s="3"/>
    </row>
    <row r="131" spans="1:7" ht="12.75">
      <c r="A131" t="s">
        <v>0</v>
      </c>
      <c r="B131" t="s">
        <v>1</v>
      </c>
      <c r="C131" t="s">
        <v>2</v>
      </c>
      <c r="D131" t="s">
        <v>3</v>
      </c>
      <c r="E131" t="s">
        <v>4</v>
      </c>
      <c r="F131" t="s">
        <v>5</v>
      </c>
      <c r="G131" t="s">
        <v>6</v>
      </c>
    </row>
    <row r="132" spans="1:7" ht="12.75">
      <c r="A132">
        <v>85</v>
      </c>
      <c r="B132">
        <f aca="true" t="shared" si="28" ref="B132:B139">(A132-offset)/gain</f>
        <v>0.9929964465746631</v>
      </c>
      <c r="C132">
        <v>89589</v>
      </c>
      <c r="D132">
        <v>2007</v>
      </c>
      <c r="E132">
        <v>66</v>
      </c>
      <c r="F132">
        <v>1510</v>
      </c>
      <c r="G132">
        <f>corr200*(E132+F132)/(D132-14*2)</f>
        <v>0.8016822920667003</v>
      </c>
    </row>
    <row r="133" spans="1:15" ht="12.75">
      <c r="A133">
        <v>150</v>
      </c>
      <c r="B133">
        <f t="shared" si="28"/>
        <v>1.6644285596231714</v>
      </c>
      <c r="G133">
        <f>corr200*(E133+F133)/(D133-14*2)</f>
        <v>0</v>
      </c>
      <c r="N133">
        <v>2.5</v>
      </c>
      <c r="O133">
        <f>-0.2782*N133+1.213</f>
        <v>0.5175000000000001</v>
      </c>
    </row>
    <row r="134" spans="1:15" ht="12.75">
      <c r="A134">
        <v>180</v>
      </c>
      <c r="B134">
        <f t="shared" si="28"/>
        <v>1.9743203041070985</v>
      </c>
      <c r="G134">
        <f>corr200*(E134+F134)/(D134-14*2)</f>
        <v>0</v>
      </c>
      <c r="N134">
        <f aca="true" t="shared" si="29" ref="N134:N139">N133+0.01</f>
        <v>2.51</v>
      </c>
      <c r="O134">
        <f aca="true" t="shared" si="30" ref="O134:O139">-0.2782*N134+1.213</f>
        <v>0.5147180000000001</v>
      </c>
    </row>
    <row r="135" spans="1:15" ht="12.75">
      <c r="A135">
        <v>210</v>
      </c>
      <c r="B135">
        <f t="shared" si="28"/>
        <v>2.284212048591025</v>
      </c>
      <c r="C135">
        <v>34649</v>
      </c>
      <c r="D135">
        <v>2066</v>
      </c>
      <c r="E135">
        <v>40</v>
      </c>
      <c r="F135">
        <v>1129</v>
      </c>
      <c r="G135">
        <f>corr200*(E135+F135)/(D135-14*2)</f>
        <v>0.5774338022571147</v>
      </c>
      <c r="N135">
        <f t="shared" si="29"/>
        <v>2.5199999999999996</v>
      </c>
      <c r="O135">
        <f t="shared" si="30"/>
        <v>0.5119360000000002</v>
      </c>
    </row>
    <row r="136" spans="1:15" ht="12.75">
      <c r="A136">
        <v>240</v>
      </c>
      <c r="B136">
        <f t="shared" si="28"/>
        <v>2.5941037930749524</v>
      </c>
      <c r="C136">
        <v>29135</v>
      </c>
      <c r="D136">
        <v>2061</v>
      </c>
      <c r="E136">
        <v>36</v>
      </c>
      <c r="F136">
        <v>956</v>
      </c>
      <c r="G136">
        <f>corr200*(E136+F136)/(D136-14*2)</f>
        <v>0.49120883030004914</v>
      </c>
      <c r="N136">
        <f t="shared" si="29"/>
        <v>2.5299999999999994</v>
      </c>
      <c r="O136">
        <f t="shared" si="30"/>
        <v>0.5091540000000002</v>
      </c>
    </row>
    <row r="137" spans="1:15" ht="12.75">
      <c r="A137">
        <v>270</v>
      </c>
      <c r="B137">
        <f t="shared" si="28"/>
        <v>2.9039955375588793</v>
      </c>
      <c r="N137">
        <f t="shared" si="29"/>
        <v>2.539999999999999</v>
      </c>
      <c r="O137">
        <f t="shared" si="30"/>
        <v>0.5063720000000003</v>
      </c>
    </row>
    <row r="138" spans="1:15" ht="12.75">
      <c r="A138">
        <v>300</v>
      </c>
      <c r="B138">
        <f t="shared" si="28"/>
        <v>3.213887282042806</v>
      </c>
      <c r="N138">
        <f t="shared" si="29"/>
        <v>2.549999999999999</v>
      </c>
      <c r="O138">
        <f t="shared" si="30"/>
        <v>0.5035900000000003</v>
      </c>
    </row>
    <row r="139" spans="1:15" ht="12.75">
      <c r="A139">
        <v>330</v>
      </c>
      <c r="B139">
        <f t="shared" si="28"/>
        <v>3.523779026526733</v>
      </c>
      <c r="N139" s="2">
        <f t="shared" si="29"/>
        <v>2.5599999999999987</v>
      </c>
      <c r="O139" s="2">
        <f t="shared" si="30"/>
        <v>0.5008080000000005</v>
      </c>
    </row>
    <row r="144" spans="1:4" ht="12.75">
      <c r="A144" t="s">
        <v>32</v>
      </c>
      <c r="C144" s="3"/>
      <c r="D144" s="3"/>
    </row>
    <row r="146" spans="1:15" ht="12.75">
      <c r="A146" t="s">
        <v>0</v>
      </c>
      <c r="B146" t="s">
        <v>1</v>
      </c>
      <c r="C146" t="s">
        <v>2</v>
      </c>
      <c r="D146" t="s">
        <v>3</v>
      </c>
      <c r="E146" t="s">
        <v>4</v>
      </c>
      <c r="F146" t="s">
        <v>5</v>
      </c>
      <c r="G146" t="s">
        <v>6</v>
      </c>
      <c r="N146">
        <v>2.6</v>
      </c>
      <c r="O146">
        <f>-0.311*N146+1.3313</f>
        <v>0.5226999999999999</v>
      </c>
    </row>
    <row r="147" spans="1:15" ht="12.75">
      <c r="A147">
        <v>85</v>
      </c>
      <c r="B147">
        <f aca="true" t="shared" si="31" ref="B147:B154">(A147-offset)/gain</f>
        <v>0.9929964465746631</v>
      </c>
      <c r="C147">
        <v>83153</v>
      </c>
      <c r="D147">
        <v>2122</v>
      </c>
      <c r="E147">
        <v>61</v>
      </c>
      <c r="F147">
        <v>1623</v>
      </c>
      <c r="G147">
        <f aca="true" t="shared" si="32" ref="G147:G152">corr200*(E147+F147)/(D147-14*2)</f>
        <v>0.8095753600764087</v>
      </c>
      <c r="N147">
        <f aca="true" t="shared" si="33" ref="N147:N153">N146+0.01</f>
        <v>2.61</v>
      </c>
      <c r="O147">
        <f aca="true" t="shared" si="34" ref="O147:O153">-0.311*N147+1.3313</f>
        <v>0.51959</v>
      </c>
    </row>
    <row r="148" spans="1:15" ht="12.75">
      <c r="A148">
        <v>150</v>
      </c>
      <c r="B148">
        <f t="shared" si="31"/>
        <v>1.6644285596231714</v>
      </c>
      <c r="G148">
        <f t="shared" si="32"/>
        <v>0</v>
      </c>
      <c r="N148">
        <f t="shared" si="33"/>
        <v>2.6199999999999997</v>
      </c>
      <c r="O148">
        <f t="shared" si="34"/>
        <v>0.51648</v>
      </c>
    </row>
    <row r="149" spans="1:15" ht="12.75">
      <c r="A149">
        <v>180</v>
      </c>
      <c r="B149">
        <f t="shared" si="31"/>
        <v>1.9743203041070985</v>
      </c>
      <c r="G149">
        <f t="shared" si="32"/>
        <v>0</v>
      </c>
      <c r="N149">
        <f t="shared" si="33"/>
        <v>2.6299999999999994</v>
      </c>
      <c r="O149">
        <f t="shared" si="34"/>
        <v>0.5133700000000001</v>
      </c>
    </row>
    <row r="150" spans="1:15" ht="12.75">
      <c r="A150">
        <v>210</v>
      </c>
      <c r="B150">
        <f t="shared" si="31"/>
        <v>2.284212048591025</v>
      </c>
      <c r="G150">
        <f t="shared" si="32"/>
        <v>0</v>
      </c>
      <c r="N150">
        <f t="shared" si="33"/>
        <v>2.6399999999999992</v>
      </c>
      <c r="O150">
        <f t="shared" si="34"/>
        <v>0.5102600000000002</v>
      </c>
    </row>
    <row r="151" spans="1:15" ht="12.75">
      <c r="A151">
        <v>240</v>
      </c>
      <c r="B151">
        <f t="shared" si="31"/>
        <v>2.5941037930749524</v>
      </c>
      <c r="C151">
        <v>30229</v>
      </c>
      <c r="D151">
        <v>1959</v>
      </c>
      <c r="E151">
        <v>36</v>
      </c>
      <c r="F151">
        <v>970</v>
      </c>
      <c r="G151">
        <f t="shared" si="32"/>
        <v>0.5244542133609528</v>
      </c>
      <c r="N151">
        <f t="shared" si="33"/>
        <v>2.649999999999999</v>
      </c>
      <c r="O151">
        <f t="shared" si="34"/>
        <v>0.5071500000000002</v>
      </c>
    </row>
    <row r="152" spans="1:15" ht="12.75">
      <c r="A152">
        <v>270</v>
      </c>
      <c r="B152">
        <f t="shared" si="31"/>
        <v>2.9039955375588793</v>
      </c>
      <c r="C152">
        <v>24652</v>
      </c>
      <c r="D152">
        <v>1994</v>
      </c>
      <c r="E152">
        <v>28</v>
      </c>
      <c r="F152">
        <v>808</v>
      </c>
      <c r="G152">
        <f t="shared" si="32"/>
        <v>0.42806984537131226</v>
      </c>
      <c r="N152">
        <f t="shared" si="33"/>
        <v>2.659999999999999</v>
      </c>
      <c r="O152">
        <f t="shared" si="34"/>
        <v>0.5040400000000003</v>
      </c>
    </row>
    <row r="153" spans="1:15" ht="12.75">
      <c r="A153">
        <v>300</v>
      </c>
      <c r="B153">
        <f t="shared" si="31"/>
        <v>3.213887282042806</v>
      </c>
      <c r="N153" s="2">
        <f t="shared" si="33"/>
        <v>2.6699999999999986</v>
      </c>
      <c r="O153" s="2">
        <f t="shared" si="34"/>
        <v>0.5009300000000003</v>
      </c>
    </row>
    <row r="154" spans="1:15" ht="12.75">
      <c r="A154">
        <v>330</v>
      </c>
      <c r="B154">
        <f t="shared" si="31"/>
        <v>3.523779026526733</v>
      </c>
      <c r="N154" s="2"/>
      <c r="O154" s="2"/>
    </row>
    <row r="158" spans="1:4" ht="12.75">
      <c r="A158" t="s">
        <v>33</v>
      </c>
      <c r="C158" s="3"/>
      <c r="D158" s="3"/>
    </row>
    <row r="160" spans="1:7" ht="12.75">
      <c r="A160" t="s">
        <v>0</v>
      </c>
      <c r="B160" t="s">
        <v>1</v>
      </c>
      <c r="C160" t="s">
        <v>2</v>
      </c>
      <c r="D160" t="s">
        <v>3</v>
      </c>
      <c r="E160" t="s">
        <v>4</v>
      </c>
      <c r="F160" t="s">
        <v>5</v>
      </c>
      <c r="G160" t="s">
        <v>6</v>
      </c>
    </row>
    <row r="161" spans="1:15" ht="12.75">
      <c r="A161">
        <v>85</v>
      </c>
      <c r="B161">
        <f aca="true" t="shared" si="35" ref="B161:B168">(A161-offset)/gain</f>
        <v>0.9929964465746631</v>
      </c>
      <c r="C161">
        <v>80900</v>
      </c>
      <c r="D161">
        <v>1924</v>
      </c>
      <c r="E161">
        <v>70</v>
      </c>
      <c r="F161">
        <v>1439</v>
      </c>
      <c r="G161">
        <f aca="true" t="shared" si="36" ref="G161:G166">corr200*(E161+F161)/(D161-14*2)</f>
        <v>0.8012033908227847</v>
      </c>
      <c r="N161">
        <v>2.6</v>
      </c>
      <c r="O161">
        <f>-0.2538*N161+1.176</f>
        <v>0.5161199999999998</v>
      </c>
    </row>
    <row r="162" spans="1:15" ht="12.75">
      <c r="A162">
        <v>150</v>
      </c>
      <c r="B162">
        <f t="shared" si="35"/>
        <v>1.6644285596231714</v>
      </c>
      <c r="G162">
        <f t="shared" si="36"/>
        <v>0</v>
      </c>
      <c r="N162">
        <f aca="true" t="shared" si="37" ref="N162:N168">N161+0.01</f>
        <v>2.61</v>
      </c>
      <c r="O162">
        <f aca="true" t="shared" si="38" ref="O162:O168">-0.2538*N162+1.176</f>
        <v>0.5135819999999999</v>
      </c>
    </row>
    <row r="163" spans="1:15" ht="12.75">
      <c r="A163">
        <v>180</v>
      </c>
      <c r="B163">
        <f t="shared" si="35"/>
        <v>1.9743203041070985</v>
      </c>
      <c r="G163">
        <f t="shared" si="36"/>
        <v>0</v>
      </c>
      <c r="N163">
        <f t="shared" si="37"/>
        <v>2.6199999999999997</v>
      </c>
      <c r="O163">
        <f t="shared" si="38"/>
        <v>0.5110439999999999</v>
      </c>
    </row>
    <row r="164" spans="1:15" ht="12.75">
      <c r="A164">
        <v>210</v>
      </c>
      <c r="B164">
        <f t="shared" si="35"/>
        <v>2.284212048591025</v>
      </c>
      <c r="G164">
        <f t="shared" si="36"/>
        <v>0</v>
      </c>
      <c r="N164">
        <f t="shared" si="37"/>
        <v>2.6299999999999994</v>
      </c>
      <c r="O164">
        <f t="shared" si="38"/>
        <v>0.508506</v>
      </c>
    </row>
    <row r="165" spans="1:15" ht="12.75">
      <c r="A165">
        <v>240</v>
      </c>
      <c r="B165">
        <f t="shared" si="35"/>
        <v>2.5941037930749524</v>
      </c>
      <c r="C165">
        <v>30379</v>
      </c>
      <c r="D165">
        <v>2024</v>
      </c>
      <c r="E165">
        <v>32</v>
      </c>
      <c r="F165">
        <v>994</v>
      </c>
      <c r="G165">
        <f t="shared" si="36"/>
        <v>0.5174622775551101</v>
      </c>
      <c r="N165">
        <f t="shared" si="37"/>
        <v>2.6399999999999992</v>
      </c>
      <c r="O165">
        <f t="shared" si="38"/>
        <v>0.5059680000000001</v>
      </c>
    </row>
    <row r="166" spans="1:15" ht="12.75">
      <c r="A166">
        <v>270</v>
      </c>
      <c r="B166">
        <f t="shared" si="35"/>
        <v>2.9039955375588793</v>
      </c>
      <c r="C166">
        <v>26131</v>
      </c>
      <c r="D166">
        <v>1962</v>
      </c>
      <c r="E166">
        <v>29</v>
      </c>
      <c r="F166">
        <v>814</v>
      </c>
      <c r="G166">
        <f t="shared" si="36"/>
        <v>0.43879632006204755</v>
      </c>
      <c r="N166">
        <f t="shared" si="37"/>
        <v>2.649999999999999</v>
      </c>
      <c r="O166">
        <f t="shared" si="38"/>
        <v>0.5034300000000002</v>
      </c>
    </row>
    <row r="167" spans="1:15" ht="12.75">
      <c r="A167">
        <v>300</v>
      </c>
      <c r="B167">
        <f t="shared" si="35"/>
        <v>3.213887282042806</v>
      </c>
      <c r="N167" s="2">
        <f t="shared" si="37"/>
        <v>2.659999999999999</v>
      </c>
      <c r="O167" s="2">
        <f t="shared" si="38"/>
        <v>0.5008920000000001</v>
      </c>
    </row>
    <row r="168" spans="1:15" ht="12.75">
      <c r="A168">
        <v>330</v>
      </c>
      <c r="B168">
        <f t="shared" si="35"/>
        <v>3.523779026526733</v>
      </c>
      <c r="N168">
        <f t="shared" si="37"/>
        <v>2.6699999999999986</v>
      </c>
      <c r="O168">
        <f t="shared" si="38"/>
        <v>0.4983540000000002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67"/>
  <sheetViews>
    <sheetView tabSelected="1" workbookViewId="0" topLeftCell="A138">
      <selection activeCell="I164" sqref="I164"/>
    </sheetView>
  </sheetViews>
  <sheetFormatPr defaultColWidth="9.140625" defaultRowHeight="12.75"/>
  <cols>
    <col min="1" max="1" width="10.28125" style="0" customWidth="1"/>
  </cols>
  <sheetData>
    <row r="1" spans="1:15" ht="12.75">
      <c r="A1" t="s">
        <v>37</v>
      </c>
      <c r="F1" s="10"/>
      <c r="G1" s="10"/>
      <c r="L1" t="s">
        <v>34</v>
      </c>
      <c r="M1" t="s">
        <v>35</v>
      </c>
      <c r="N1" t="s">
        <v>18</v>
      </c>
      <c r="O1" t="s">
        <v>50</v>
      </c>
    </row>
    <row r="2" spans="7:15" ht="12.75">
      <c r="G2" t="s">
        <v>47</v>
      </c>
      <c r="L2">
        <v>20</v>
      </c>
      <c r="M2">
        <f>G10</f>
        <v>0.32037470725995315</v>
      </c>
      <c r="O2">
        <v>7.7</v>
      </c>
    </row>
    <row r="3" spans="7:15" ht="12.75">
      <c r="G3">
        <v>1.006681</v>
      </c>
      <c r="L3">
        <v>30</v>
      </c>
      <c r="M3">
        <f>G20</f>
        <v>0.5376588021778584</v>
      </c>
      <c r="N3">
        <f>N21</f>
        <v>0</v>
      </c>
      <c r="O3">
        <v>8.8</v>
      </c>
    </row>
    <row r="4" spans="12:15" ht="12.75">
      <c r="L4">
        <v>40</v>
      </c>
      <c r="M4">
        <f>G31</f>
        <v>0.6567164179104478</v>
      </c>
      <c r="N4">
        <f>N31</f>
        <v>0</v>
      </c>
      <c r="O4">
        <v>9.2</v>
      </c>
    </row>
    <row r="5" spans="12:15" ht="12.75">
      <c r="L5">
        <v>60</v>
      </c>
      <c r="M5">
        <f>G43</f>
        <v>0.762546468401487</v>
      </c>
      <c r="N5">
        <f>N44</f>
        <v>0</v>
      </c>
      <c r="O5">
        <v>9.7</v>
      </c>
    </row>
    <row r="6" spans="12:15" ht="12.75">
      <c r="L6">
        <v>80</v>
      </c>
      <c r="M6">
        <f>G56</f>
        <v>0.8068709377901578</v>
      </c>
      <c r="N6">
        <f>N59</f>
        <v>0</v>
      </c>
      <c r="O6">
        <v>10</v>
      </c>
    </row>
    <row r="7" spans="1:15" ht="12.75">
      <c r="A7" t="s">
        <v>7</v>
      </c>
      <c r="L7">
        <v>100</v>
      </c>
      <c r="M7">
        <f>G71</f>
        <v>0.7948955916473318</v>
      </c>
      <c r="N7">
        <f>N73</f>
        <v>0</v>
      </c>
      <c r="O7">
        <v>10.2</v>
      </c>
    </row>
    <row r="8" spans="12:15" ht="12.75">
      <c r="L8">
        <v>150</v>
      </c>
      <c r="M8">
        <f>G87</f>
        <v>0.800952380952381</v>
      </c>
      <c r="N8">
        <f>N90</f>
        <v>0</v>
      </c>
      <c r="O8">
        <v>10.45</v>
      </c>
    </row>
    <row r="9" spans="1:15" ht="12.75">
      <c r="A9" t="s">
        <v>0</v>
      </c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L9">
        <v>200</v>
      </c>
      <c r="M9">
        <f>G101</f>
        <v>0.8141821946169773</v>
      </c>
      <c r="N9">
        <f>N104</f>
        <v>0</v>
      </c>
      <c r="O9">
        <v>10.7</v>
      </c>
    </row>
    <row r="10" spans="1:15" ht="12.75">
      <c r="A10" s="10">
        <v>85</v>
      </c>
      <c r="B10">
        <f>(A10-offset)/gain</f>
        <v>0.9929964465746631</v>
      </c>
      <c r="C10">
        <v>19829</v>
      </c>
      <c r="D10">
        <v>2163</v>
      </c>
      <c r="E10">
        <v>26</v>
      </c>
      <c r="F10">
        <v>658</v>
      </c>
      <c r="G10">
        <f>(E10+F10)/(D10-14*2)</f>
        <v>0.32037470725995315</v>
      </c>
      <c r="L10">
        <v>250</v>
      </c>
      <c r="M10">
        <f>G116</f>
        <v>0.8122291766971593</v>
      </c>
      <c r="N10">
        <f>N118</f>
        <v>0</v>
      </c>
      <c r="O10" s="4">
        <v>10.79</v>
      </c>
    </row>
    <row r="11" spans="1:15" ht="12.75">
      <c r="A11">
        <v>100</v>
      </c>
      <c r="B11">
        <f>(A11-offset)/gain</f>
        <v>1.1479423188166267</v>
      </c>
      <c r="C11">
        <v>14758</v>
      </c>
      <c r="D11">
        <v>2200</v>
      </c>
      <c r="E11">
        <v>13</v>
      </c>
      <c r="F11">
        <v>369</v>
      </c>
      <c r="G11">
        <f>(E11+F11)/(D11-14*2)</f>
        <v>0.17587476979742173</v>
      </c>
      <c r="L11">
        <v>300</v>
      </c>
      <c r="M11">
        <f>G131</f>
        <v>0.81640625</v>
      </c>
      <c r="N11">
        <f>N138</f>
        <v>0</v>
      </c>
      <c r="O11" s="12">
        <v>10.9</v>
      </c>
    </row>
    <row r="12" spans="1:15" ht="12.75">
      <c r="A12">
        <v>120</v>
      </c>
      <c r="B12">
        <f>(A12-offset)/gain</f>
        <v>1.3545368151392445</v>
      </c>
      <c r="C12">
        <v>10508</v>
      </c>
      <c r="D12">
        <v>2250</v>
      </c>
      <c r="E12">
        <v>12</v>
      </c>
      <c r="F12">
        <v>252</v>
      </c>
      <c r="G12">
        <f>(E12+F12)/(D12-14*2)</f>
        <v>0.1188118811881188</v>
      </c>
      <c r="L12">
        <v>350</v>
      </c>
      <c r="M12">
        <f>G146</f>
        <v>0.8166160081053698</v>
      </c>
      <c r="N12">
        <f>N152</f>
        <v>0</v>
      </c>
      <c r="O12" s="12">
        <v>11</v>
      </c>
    </row>
    <row r="13" spans="12:15" ht="12.75">
      <c r="L13">
        <v>400</v>
      </c>
      <c r="M13">
        <f>G160</f>
        <v>0.8198151950718686</v>
      </c>
      <c r="N13">
        <f>N166</f>
        <v>0</v>
      </c>
      <c r="O13" s="12">
        <v>11.2</v>
      </c>
    </row>
    <row r="17" ht="12.75">
      <c r="A17" t="s">
        <v>8</v>
      </c>
    </row>
    <row r="19" spans="1:7" ht="12.75">
      <c r="A19" t="s">
        <v>0</v>
      </c>
      <c r="B19" t="s">
        <v>1</v>
      </c>
      <c r="C19" t="s">
        <v>2</v>
      </c>
      <c r="D19" t="s">
        <v>3</v>
      </c>
      <c r="E19" t="s">
        <v>4</v>
      </c>
      <c r="F19" t="s">
        <v>5</v>
      </c>
      <c r="G19" t="s">
        <v>6</v>
      </c>
    </row>
    <row r="20" spans="1:7" ht="12.75">
      <c r="A20" s="10">
        <v>85</v>
      </c>
      <c r="B20">
        <f>(A20-offset)/gain</f>
        <v>0.9929964465746631</v>
      </c>
      <c r="C20">
        <v>32199</v>
      </c>
      <c r="D20">
        <v>2232</v>
      </c>
      <c r="E20">
        <v>40</v>
      </c>
      <c r="F20">
        <v>1145</v>
      </c>
      <c r="G20">
        <f>(E20+F20)/(D20-14*2)</f>
        <v>0.5376588021778584</v>
      </c>
    </row>
    <row r="21" spans="1:15" ht="12.75">
      <c r="A21" s="10">
        <v>100</v>
      </c>
      <c r="B21">
        <f>(A21-offset)/gain</f>
        <v>1.1479423188166267</v>
      </c>
      <c r="C21">
        <v>26526</v>
      </c>
      <c r="D21">
        <v>2208</v>
      </c>
      <c r="E21">
        <v>33</v>
      </c>
      <c r="F21">
        <v>817</v>
      </c>
      <c r="G21">
        <f>(E21+F21)/(D21-14*2)</f>
        <v>0.38990825688073394</v>
      </c>
      <c r="N21" s="2"/>
      <c r="O21" s="2"/>
    </row>
    <row r="22" spans="1:7" ht="12.75">
      <c r="A22">
        <v>120</v>
      </c>
      <c r="B22">
        <f>(A22-offset)/gain</f>
        <v>1.3545368151392445</v>
      </c>
      <c r="C22">
        <v>18751</v>
      </c>
      <c r="D22">
        <v>2136</v>
      </c>
      <c r="E22">
        <v>14</v>
      </c>
      <c r="F22">
        <v>441</v>
      </c>
      <c r="G22">
        <f>(E22+F22)/(D22-14*2)</f>
        <v>0.21584440227703985</v>
      </c>
    </row>
    <row r="23" spans="1:7" ht="12.75">
      <c r="A23">
        <v>150</v>
      </c>
      <c r="B23">
        <f>(A23-offset)/gain</f>
        <v>1.6644285596231714</v>
      </c>
      <c r="C23">
        <v>11246</v>
      </c>
      <c r="D23">
        <v>2168</v>
      </c>
      <c r="E23">
        <v>16</v>
      </c>
      <c r="F23">
        <v>224</v>
      </c>
      <c r="G23">
        <f>(E23+F23)/(D23-14*2)</f>
        <v>0.11214953271028037</v>
      </c>
    </row>
    <row r="28" ht="12.75">
      <c r="A28" t="s">
        <v>9</v>
      </c>
    </row>
    <row r="30" spans="1:7" ht="12.75">
      <c r="A30" t="s">
        <v>0</v>
      </c>
      <c r="B30" t="s">
        <v>1</v>
      </c>
      <c r="C30" t="s">
        <v>2</v>
      </c>
      <c r="D30" t="s">
        <v>3</v>
      </c>
      <c r="E30" t="s">
        <v>4</v>
      </c>
      <c r="F30" t="s">
        <v>5</v>
      </c>
      <c r="G30" t="s">
        <v>6</v>
      </c>
    </row>
    <row r="31" spans="1:15" ht="12.75">
      <c r="A31">
        <v>85</v>
      </c>
      <c r="B31">
        <f>(A31-offset)/gain</f>
        <v>0.9929964465746631</v>
      </c>
      <c r="C31">
        <v>46099</v>
      </c>
      <c r="D31">
        <v>2105</v>
      </c>
      <c r="E31">
        <v>52</v>
      </c>
      <c r="F31">
        <v>1312</v>
      </c>
      <c r="G31">
        <f>(E31+F31)/(D31-14*2)</f>
        <v>0.6567164179104478</v>
      </c>
      <c r="N31" s="2"/>
      <c r="O31" s="2"/>
    </row>
    <row r="32" spans="1:7" ht="12.75">
      <c r="A32" s="1">
        <v>100</v>
      </c>
      <c r="B32">
        <f>(A32-offset)/gain</f>
        <v>1.1479423188166267</v>
      </c>
      <c r="C32">
        <v>35532</v>
      </c>
      <c r="D32">
        <v>2110</v>
      </c>
      <c r="E32">
        <v>34</v>
      </c>
      <c r="F32">
        <v>1093</v>
      </c>
      <c r="G32">
        <f>(E32+F32)/(D32-14*2)</f>
        <v>0.5413064361191162</v>
      </c>
    </row>
    <row r="33" spans="1:7" ht="12.75">
      <c r="A33">
        <v>120</v>
      </c>
      <c r="B33">
        <f>(A33-offset)/gain</f>
        <v>1.3545368151392445</v>
      </c>
      <c r="C33" s="1">
        <v>26164</v>
      </c>
      <c r="D33" s="1">
        <v>2204</v>
      </c>
      <c r="E33" s="1">
        <v>28</v>
      </c>
      <c r="F33" s="1">
        <v>772</v>
      </c>
      <c r="G33">
        <f>(E33+F33)/(D33-14*2)</f>
        <v>0.36764705882352944</v>
      </c>
    </row>
    <row r="34" spans="1:7" ht="12.75">
      <c r="A34" s="10">
        <v>150</v>
      </c>
      <c r="B34" s="10">
        <f>(A34-offset)/gain</f>
        <v>1.6644285596231714</v>
      </c>
      <c r="C34" s="11">
        <v>16464</v>
      </c>
      <c r="D34" s="11">
        <v>2187</v>
      </c>
      <c r="E34" s="11">
        <v>18</v>
      </c>
      <c r="F34" s="11">
        <v>375</v>
      </c>
      <c r="G34">
        <f>(E34+F34)/(D34-14*2)</f>
        <v>0.18202871699861048</v>
      </c>
    </row>
    <row r="35" spans="1:7" ht="12.75">
      <c r="A35">
        <v>180</v>
      </c>
      <c r="B35">
        <f>(A35-offset)/gain</f>
        <v>1.9743203041070985</v>
      </c>
      <c r="C35" s="11">
        <v>10813</v>
      </c>
      <c r="D35" s="11">
        <v>2185</v>
      </c>
      <c r="E35" s="11">
        <v>9</v>
      </c>
      <c r="F35" s="11">
        <v>203</v>
      </c>
      <c r="G35">
        <f>(E35+F35)/(D35-14*2)</f>
        <v>0.09828465461288827</v>
      </c>
    </row>
    <row r="40" ht="12.75">
      <c r="A40" t="s">
        <v>10</v>
      </c>
    </row>
    <row r="42" spans="1:7" ht="12.75">
      <c r="A42" t="s">
        <v>0</v>
      </c>
      <c r="B42" t="s">
        <v>1</v>
      </c>
      <c r="C42" t="s">
        <v>2</v>
      </c>
      <c r="D42" t="s">
        <v>3</v>
      </c>
      <c r="E42" t="s">
        <v>4</v>
      </c>
      <c r="F42" t="s">
        <v>5</v>
      </c>
      <c r="G42" t="s">
        <v>6</v>
      </c>
    </row>
    <row r="43" spans="1:7" ht="12.75">
      <c r="A43">
        <v>85</v>
      </c>
      <c r="B43">
        <f aca="true" t="shared" si="0" ref="B43:B49">(A43-offset)/gain</f>
        <v>0.9929964465746631</v>
      </c>
      <c r="C43">
        <v>60430</v>
      </c>
      <c r="D43">
        <v>2180</v>
      </c>
      <c r="E43">
        <v>57</v>
      </c>
      <c r="F43">
        <v>1584</v>
      </c>
      <c r="G43">
        <f aca="true" t="shared" si="1" ref="G43:G49">(E43+F43)/(D43-14*2)</f>
        <v>0.762546468401487</v>
      </c>
    </row>
    <row r="44" spans="1:15" ht="12.75">
      <c r="A44" s="1">
        <v>100</v>
      </c>
      <c r="B44">
        <f t="shared" si="0"/>
        <v>1.1479423188166267</v>
      </c>
      <c r="C44">
        <v>49667</v>
      </c>
      <c r="D44">
        <v>2214</v>
      </c>
      <c r="E44">
        <v>63</v>
      </c>
      <c r="F44">
        <v>1490</v>
      </c>
      <c r="G44">
        <f t="shared" si="1"/>
        <v>0.7104300091491308</v>
      </c>
      <c r="N44" s="2"/>
      <c r="O44" s="2"/>
    </row>
    <row r="45" spans="1:7" ht="12.75">
      <c r="A45">
        <v>120</v>
      </c>
      <c r="B45">
        <f t="shared" si="0"/>
        <v>1.3545368151392445</v>
      </c>
      <c r="C45">
        <v>39068</v>
      </c>
      <c r="D45">
        <v>2207</v>
      </c>
      <c r="E45">
        <v>47</v>
      </c>
      <c r="F45">
        <v>1227</v>
      </c>
      <c r="G45">
        <f t="shared" si="1"/>
        <v>0.5846718678292795</v>
      </c>
    </row>
    <row r="46" spans="1:7" ht="12.75">
      <c r="A46">
        <v>150</v>
      </c>
      <c r="B46">
        <f t="shared" si="0"/>
        <v>1.6644285596231714</v>
      </c>
      <c r="C46">
        <v>26754</v>
      </c>
      <c r="D46">
        <v>2307</v>
      </c>
      <c r="E46">
        <v>35</v>
      </c>
      <c r="F46">
        <v>822</v>
      </c>
      <c r="G46">
        <f t="shared" si="1"/>
        <v>0.3760421237384818</v>
      </c>
    </row>
    <row r="47" spans="1:7" ht="12.75">
      <c r="A47">
        <v>180</v>
      </c>
      <c r="B47">
        <f t="shared" si="0"/>
        <v>1.9743203041070985</v>
      </c>
      <c r="C47">
        <v>18042</v>
      </c>
      <c r="D47">
        <v>2143</v>
      </c>
      <c r="E47">
        <v>19</v>
      </c>
      <c r="F47">
        <v>433</v>
      </c>
      <c r="G47">
        <f t="shared" si="1"/>
        <v>0.21371158392434988</v>
      </c>
    </row>
    <row r="48" spans="1:7" ht="12.75">
      <c r="A48">
        <v>210</v>
      </c>
      <c r="B48">
        <f t="shared" si="0"/>
        <v>2.284212048591025</v>
      </c>
      <c r="C48">
        <v>13019</v>
      </c>
      <c r="D48">
        <v>2250</v>
      </c>
      <c r="E48">
        <v>8</v>
      </c>
      <c r="F48">
        <v>243</v>
      </c>
      <c r="G48">
        <f t="shared" si="1"/>
        <v>0.11296129612961296</v>
      </c>
    </row>
    <row r="49" spans="1:7" ht="12.75">
      <c r="A49">
        <v>240</v>
      </c>
      <c r="B49">
        <f t="shared" si="0"/>
        <v>2.5941037930749524</v>
      </c>
      <c r="C49">
        <v>9256</v>
      </c>
      <c r="D49">
        <v>5164</v>
      </c>
      <c r="E49">
        <v>7</v>
      </c>
      <c r="F49">
        <v>164</v>
      </c>
      <c r="G49">
        <f t="shared" si="1"/>
        <v>0.03329439252336448</v>
      </c>
    </row>
    <row r="53" ht="12.75">
      <c r="A53" t="s">
        <v>11</v>
      </c>
    </row>
    <row r="55" spans="1:7" ht="12.75">
      <c r="A55" t="s">
        <v>0</v>
      </c>
      <c r="B55" t="s">
        <v>1</v>
      </c>
      <c r="C55" t="s">
        <v>2</v>
      </c>
      <c r="D55" t="s">
        <v>3</v>
      </c>
      <c r="E55" t="s">
        <v>4</v>
      </c>
      <c r="F55" t="s">
        <v>5</v>
      </c>
      <c r="G55" t="s">
        <v>6</v>
      </c>
    </row>
    <row r="56" spans="1:7" ht="12.75">
      <c r="A56" s="11">
        <v>85</v>
      </c>
      <c r="B56" s="11">
        <f aca="true" t="shared" si="2" ref="B56:B62">(A56-offset)/gain</f>
        <v>0.9929964465746631</v>
      </c>
      <c r="C56" s="11">
        <v>67159</v>
      </c>
      <c r="D56" s="11">
        <v>2182</v>
      </c>
      <c r="E56" s="11">
        <v>71</v>
      </c>
      <c r="F56" s="11">
        <v>1667</v>
      </c>
      <c r="G56">
        <f aca="true" t="shared" si="3" ref="G56:G62">(E56+F56)/(D56-14*2)</f>
        <v>0.8068709377901578</v>
      </c>
    </row>
    <row r="57" spans="1:7" ht="12.75">
      <c r="A57" s="1">
        <v>100</v>
      </c>
      <c r="B57">
        <f t="shared" si="2"/>
        <v>1.1479423188166267</v>
      </c>
      <c r="C57">
        <v>57122</v>
      </c>
      <c r="D57">
        <v>2154</v>
      </c>
      <c r="E57">
        <v>62</v>
      </c>
      <c r="F57">
        <v>1551</v>
      </c>
      <c r="G57">
        <f t="shared" si="3"/>
        <v>0.7587017873941675</v>
      </c>
    </row>
    <row r="58" spans="1:7" ht="12.75">
      <c r="A58">
        <v>120</v>
      </c>
      <c r="B58">
        <f t="shared" si="2"/>
        <v>1.3545368151392445</v>
      </c>
      <c r="C58">
        <v>46431</v>
      </c>
      <c r="D58">
        <v>2172</v>
      </c>
      <c r="E58">
        <v>60</v>
      </c>
      <c r="F58">
        <v>1408</v>
      </c>
      <c r="G58">
        <f t="shared" si="3"/>
        <v>0.6847014925373134</v>
      </c>
    </row>
    <row r="59" spans="1:15" ht="12.75">
      <c r="A59">
        <v>150</v>
      </c>
      <c r="B59">
        <f t="shared" si="2"/>
        <v>1.6644285596231714</v>
      </c>
      <c r="C59">
        <v>33296</v>
      </c>
      <c r="D59">
        <v>2138</v>
      </c>
      <c r="E59">
        <v>40</v>
      </c>
      <c r="F59">
        <v>1062</v>
      </c>
      <c r="G59">
        <f t="shared" si="3"/>
        <v>0.5222748815165876</v>
      </c>
      <c r="N59" s="2"/>
      <c r="O59" s="2"/>
    </row>
    <row r="60" spans="1:7" ht="12.75">
      <c r="A60">
        <v>180</v>
      </c>
      <c r="B60">
        <f t="shared" si="2"/>
        <v>1.9743203041070985</v>
      </c>
      <c r="C60">
        <v>34578</v>
      </c>
      <c r="D60">
        <v>2108</v>
      </c>
      <c r="E60">
        <v>28</v>
      </c>
      <c r="F60">
        <v>679</v>
      </c>
      <c r="G60">
        <f t="shared" si="3"/>
        <v>0.33990384615384617</v>
      </c>
    </row>
    <row r="61" spans="1:7" ht="12.75">
      <c r="A61">
        <v>210</v>
      </c>
      <c r="B61">
        <f t="shared" si="2"/>
        <v>2.284212048591025</v>
      </c>
      <c r="C61">
        <v>18142</v>
      </c>
      <c r="D61">
        <v>2087</v>
      </c>
      <c r="E61">
        <v>14</v>
      </c>
      <c r="F61">
        <v>415</v>
      </c>
      <c r="G61">
        <f t="shared" si="3"/>
        <v>0.2083535696940262</v>
      </c>
    </row>
    <row r="62" spans="1:7" ht="12.75">
      <c r="A62">
        <v>240</v>
      </c>
      <c r="B62">
        <f t="shared" si="2"/>
        <v>2.5941037930749524</v>
      </c>
      <c r="C62">
        <v>13198</v>
      </c>
      <c r="D62">
        <v>2249</v>
      </c>
      <c r="E62">
        <v>10</v>
      </c>
      <c r="F62">
        <v>268</v>
      </c>
      <c r="G62">
        <f t="shared" si="3"/>
        <v>0.12516884286357496</v>
      </c>
    </row>
    <row r="68" spans="1:4" ht="12.75">
      <c r="A68" t="s">
        <v>13</v>
      </c>
      <c r="C68" s="3"/>
      <c r="D68" s="3"/>
    </row>
    <row r="70" spans="1:7" ht="12.75">
      <c r="A70" t="s">
        <v>0</v>
      </c>
      <c r="B70" t="s">
        <v>1</v>
      </c>
      <c r="C70" t="s">
        <v>2</v>
      </c>
      <c r="D70" t="s">
        <v>3</v>
      </c>
      <c r="E70" t="s">
        <v>4</v>
      </c>
      <c r="F70" t="s">
        <v>5</v>
      </c>
      <c r="G70" t="s">
        <v>6</v>
      </c>
    </row>
    <row r="71" spans="1:7" ht="12.75">
      <c r="A71" s="10">
        <v>85</v>
      </c>
      <c r="B71" s="10">
        <f aca="true" t="shared" si="4" ref="B71:B78">(A71-offset)/gain</f>
        <v>0.9929964465746631</v>
      </c>
      <c r="C71">
        <v>72160</v>
      </c>
      <c r="D71">
        <v>2183</v>
      </c>
      <c r="E71">
        <v>66</v>
      </c>
      <c r="F71">
        <v>1647</v>
      </c>
      <c r="G71">
        <f aca="true" t="shared" si="5" ref="G71:G78">(E71+F71)/(D71-14*2)</f>
        <v>0.7948955916473318</v>
      </c>
    </row>
    <row r="72" spans="1:7" ht="12.75">
      <c r="A72" s="1">
        <v>100</v>
      </c>
      <c r="B72">
        <f t="shared" si="4"/>
        <v>1.1479423188166267</v>
      </c>
      <c r="C72">
        <v>61694</v>
      </c>
      <c r="D72">
        <v>2218</v>
      </c>
      <c r="E72">
        <v>60</v>
      </c>
      <c r="F72">
        <v>1670</v>
      </c>
      <c r="G72">
        <f t="shared" si="5"/>
        <v>0.7899543378995434</v>
      </c>
    </row>
    <row r="73" spans="1:15" ht="12.75">
      <c r="A73">
        <v>120</v>
      </c>
      <c r="B73">
        <f t="shared" si="4"/>
        <v>1.3545368151392445</v>
      </c>
      <c r="C73">
        <v>50810</v>
      </c>
      <c r="D73">
        <v>2195</v>
      </c>
      <c r="E73">
        <v>58</v>
      </c>
      <c r="F73">
        <v>1527</v>
      </c>
      <c r="G73">
        <f t="shared" si="5"/>
        <v>0.7314259344716197</v>
      </c>
      <c r="N73" s="2"/>
      <c r="O73" s="2"/>
    </row>
    <row r="74" spans="1:7" ht="12.75">
      <c r="A74">
        <v>150</v>
      </c>
      <c r="B74">
        <f t="shared" si="4"/>
        <v>1.6644285596231714</v>
      </c>
      <c r="C74">
        <v>38045</v>
      </c>
      <c r="D74">
        <v>2116</v>
      </c>
      <c r="E74">
        <v>52</v>
      </c>
      <c r="F74">
        <v>1214</v>
      </c>
      <c r="G74">
        <f t="shared" si="5"/>
        <v>0.6063218390804598</v>
      </c>
    </row>
    <row r="75" spans="1:7" ht="12.75">
      <c r="A75">
        <v>180</v>
      </c>
      <c r="B75">
        <f t="shared" si="4"/>
        <v>1.9743203041070985</v>
      </c>
      <c r="C75">
        <v>29015</v>
      </c>
      <c r="D75">
        <v>2128</v>
      </c>
      <c r="E75">
        <v>35</v>
      </c>
      <c r="F75">
        <v>868</v>
      </c>
      <c r="G75">
        <f t="shared" si="5"/>
        <v>0.43</v>
      </c>
    </row>
    <row r="76" spans="1:7" ht="12.75">
      <c r="A76">
        <v>210</v>
      </c>
      <c r="B76">
        <f t="shared" si="4"/>
        <v>2.284212048591025</v>
      </c>
      <c r="C76">
        <v>22122</v>
      </c>
      <c r="D76">
        <v>2208</v>
      </c>
      <c r="E76">
        <v>16</v>
      </c>
      <c r="F76">
        <v>650</v>
      </c>
      <c r="G76">
        <f t="shared" si="5"/>
        <v>0.3055045871559633</v>
      </c>
    </row>
    <row r="77" spans="1:7" ht="12.75">
      <c r="A77">
        <v>240</v>
      </c>
      <c r="B77">
        <f t="shared" si="4"/>
        <v>2.5941037930749524</v>
      </c>
      <c r="C77">
        <v>16819</v>
      </c>
      <c r="D77">
        <v>2189</v>
      </c>
      <c r="E77">
        <v>17</v>
      </c>
      <c r="F77">
        <v>417</v>
      </c>
      <c r="G77">
        <f t="shared" si="5"/>
        <v>0.2008329477093938</v>
      </c>
    </row>
    <row r="78" spans="1:7" ht="12.75">
      <c r="A78">
        <v>270</v>
      </c>
      <c r="B78">
        <f t="shared" si="4"/>
        <v>2.9039955375588793</v>
      </c>
      <c r="C78">
        <v>12621</v>
      </c>
      <c r="D78">
        <v>2164</v>
      </c>
      <c r="E78">
        <v>14</v>
      </c>
      <c r="F78">
        <v>239</v>
      </c>
      <c r="G78">
        <f t="shared" si="5"/>
        <v>0.11844569288389513</v>
      </c>
    </row>
    <row r="84" spans="1:4" ht="12.75">
      <c r="A84" t="s">
        <v>26</v>
      </c>
      <c r="C84" s="3"/>
      <c r="D84" s="3"/>
    </row>
    <row r="86" spans="1:7" ht="12.75">
      <c r="A86" t="s">
        <v>0</v>
      </c>
      <c r="B86" t="s">
        <v>1</v>
      </c>
      <c r="C86" t="s">
        <v>2</v>
      </c>
      <c r="D86" t="s">
        <v>3</v>
      </c>
      <c r="E86" t="s">
        <v>4</v>
      </c>
      <c r="F86" t="s">
        <v>5</v>
      </c>
      <c r="G86" t="s">
        <v>6</v>
      </c>
    </row>
    <row r="87" spans="1:7" ht="12.75">
      <c r="A87">
        <v>85</v>
      </c>
      <c r="B87">
        <f aca="true" t="shared" si="6" ref="B87:B94">(A87-offset)/gain</f>
        <v>0.9929964465746631</v>
      </c>
      <c r="C87">
        <v>77403</v>
      </c>
      <c r="D87">
        <v>2128</v>
      </c>
      <c r="E87">
        <v>61</v>
      </c>
      <c r="F87">
        <v>1621</v>
      </c>
      <c r="G87">
        <f aca="true" t="shared" si="7" ref="G87:G94">(E87+F87)/(D87-14*2)</f>
        <v>0.800952380952381</v>
      </c>
    </row>
    <row r="88" spans="1:7" ht="12.75">
      <c r="A88">
        <v>120</v>
      </c>
      <c r="B88">
        <f t="shared" si="6"/>
        <v>1.3545368151392445</v>
      </c>
      <c r="C88">
        <v>57264</v>
      </c>
      <c r="D88">
        <v>2212</v>
      </c>
      <c r="E88">
        <v>66</v>
      </c>
      <c r="F88">
        <v>1622</v>
      </c>
      <c r="G88">
        <f t="shared" si="7"/>
        <v>0.7728937728937729</v>
      </c>
    </row>
    <row r="89" spans="1:7" ht="12.75">
      <c r="A89">
        <v>150</v>
      </c>
      <c r="B89">
        <f t="shared" si="6"/>
        <v>1.6644285596231714</v>
      </c>
      <c r="C89">
        <v>45071</v>
      </c>
      <c r="D89">
        <v>2101</v>
      </c>
      <c r="E89">
        <v>50</v>
      </c>
      <c r="F89">
        <v>1349</v>
      </c>
      <c r="G89">
        <f t="shared" si="7"/>
        <v>0.6748673420164013</v>
      </c>
    </row>
    <row r="90" spans="1:15" ht="12.75">
      <c r="A90">
        <v>180</v>
      </c>
      <c r="B90">
        <f t="shared" si="6"/>
        <v>1.9743203041070985</v>
      </c>
      <c r="C90">
        <v>36222</v>
      </c>
      <c r="D90">
        <v>2137</v>
      </c>
      <c r="E90">
        <v>47</v>
      </c>
      <c r="F90">
        <v>1172</v>
      </c>
      <c r="G90">
        <f t="shared" si="7"/>
        <v>0.5779990516832622</v>
      </c>
      <c r="N90" s="2"/>
      <c r="O90" s="2"/>
    </row>
    <row r="91" spans="1:7" ht="12.75">
      <c r="A91">
        <v>210</v>
      </c>
      <c r="B91">
        <f t="shared" si="6"/>
        <v>2.284212048591025</v>
      </c>
      <c r="C91">
        <v>28574</v>
      </c>
      <c r="D91">
        <v>2149</v>
      </c>
      <c r="E91">
        <v>40</v>
      </c>
      <c r="F91">
        <v>894</v>
      </c>
      <c r="G91">
        <f t="shared" si="7"/>
        <v>0.44035832154644033</v>
      </c>
    </row>
    <row r="92" spans="1:7" ht="12.75">
      <c r="A92">
        <v>240</v>
      </c>
      <c r="B92">
        <f t="shared" si="6"/>
        <v>2.5941037930749524</v>
      </c>
      <c r="C92">
        <v>22847</v>
      </c>
      <c r="D92">
        <v>2162</v>
      </c>
      <c r="E92">
        <v>23</v>
      </c>
      <c r="F92">
        <v>635</v>
      </c>
      <c r="G92">
        <f t="shared" si="7"/>
        <v>0.3083411433926898</v>
      </c>
    </row>
    <row r="93" spans="1:7" ht="12.75">
      <c r="A93">
        <v>270</v>
      </c>
      <c r="B93">
        <f t="shared" si="6"/>
        <v>2.9039955375588793</v>
      </c>
      <c r="C93">
        <v>17993</v>
      </c>
      <c r="D93">
        <v>2147</v>
      </c>
      <c r="E93">
        <v>13</v>
      </c>
      <c r="F93">
        <v>451</v>
      </c>
      <c r="G93">
        <f t="shared" si="7"/>
        <v>0.21897121283624352</v>
      </c>
    </row>
    <row r="94" spans="1:7" ht="12.75">
      <c r="A94">
        <v>300</v>
      </c>
      <c r="B94">
        <f t="shared" si="6"/>
        <v>3.213887282042806</v>
      </c>
      <c r="C94">
        <v>14080</v>
      </c>
      <c r="D94">
        <v>2126</v>
      </c>
      <c r="E94">
        <v>11</v>
      </c>
      <c r="F94">
        <v>294</v>
      </c>
      <c r="G94">
        <f t="shared" si="7"/>
        <v>0.14537654909437558</v>
      </c>
    </row>
    <row r="98" spans="1:4" ht="12.75">
      <c r="A98" t="s">
        <v>28</v>
      </c>
      <c r="C98" s="3"/>
      <c r="D98" s="3"/>
    </row>
    <row r="100" spans="1:7" ht="12.75">
      <c r="A100" t="s">
        <v>0</v>
      </c>
      <c r="B100" t="s">
        <v>1</v>
      </c>
      <c r="C100" t="s">
        <v>2</v>
      </c>
      <c r="D100" t="s">
        <v>3</v>
      </c>
      <c r="E100" t="s">
        <v>4</v>
      </c>
      <c r="F100" t="s">
        <v>5</v>
      </c>
      <c r="G100" t="s">
        <v>6</v>
      </c>
    </row>
    <row r="101" spans="1:7" ht="12.75">
      <c r="A101">
        <v>85</v>
      </c>
      <c r="B101">
        <f aca="true" t="shared" si="8" ref="B101:B108">(A101-offset)/gain</f>
        <v>0.9929964465746631</v>
      </c>
      <c r="C101">
        <v>81621</v>
      </c>
      <c r="D101">
        <v>1960</v>
      </c>
      <c r="E101">
        <v>68</v>
      </c>
      <c r="F101">
        <v>1505</v>
      </c>
      <c r="G101">
        <f aca="true" t="shared" si="9" ref="G101:G109">(E101+F101)/(D101-14*2)</f>
        <v>0.8141821946169773</v>
      </c>
    </row>
    <row r="102" spans="1:7" ht="12.75">
      <c r="A102">
        <v>150</v>
      </c>
      <c r="B102">
        <f t="shared" si="8"/>
        <v>1.6644285596231714</v>
      </c>
      <c r="C102">
        <v>48136</v>
      </c>
      <c r="D102">
        <v>2191</v>
      </c>
      <c r="E102">
        <v>50</v>
      </c>
      <c r="F102">
        <v>1554</v>
      </c>
      <c r="G102">
        <f t="shared" si="9"/>
        <v>0.7415626444752659</v>
      </c>
    </row>
    <row r="103" spans="1:7" ht="12.75">
      <c r="A103">
        <v>180</v>
      </c>
      <c r="B103">
        <f t="shared" si="8"/>
        <v>1.9743203041070985</v>
      </c>
      <c r="C103">
        <v>39217</v>
      </c>
      <c r="D103">
        <v>2106</v>
      </c>
      <c r="E103">
        <v>37</v>
      </c>
      <c r="F103">
        <v>1235</v>
      </c>
      <c r="G103">
        <f t="shared" si="9"/>
        <v>0.6121270452358036</v>
      </c>
    </row>
    <row r="104" spans="1:15" ht="12.75">
      <c r="A104">
        <v>210</v>
      </c>
      <c r="B104">
        <f t="shared" si="8"/>
        <v>2.284212048591025</v>
      </c>
      <c r="C104">
        <v>33001</v>
      </c>
      <c r="D104">
        <v>1981</v>
      </c>
      <c r="E104">
        <v>26</v>
      </c>
      <c r="F104">
        <v>953</v>
      </c>
      <c r="G104">
        <f t="shared" si="9"/>
        <v>0.5012800819252432</v>
      </c>
      <c r="N104" s="2"/>
      <c r="O104" s="2"/>
    </row>
    <row r="105" spans="1:7" ht="12.75">
      <c r="A105">
        <v>240</v>
      </c>
      <c r="B105">
        <f t="shared" si="8"/>
        <v>2.5941037930749524</v>
      </c>
      <c r="C105">
        <v>27199</v>
      </c>
      <c r="D105">
        <v>2072</v>
      </c>
      <c r="E105">
        <v>29</v>
      </c>
      <c r="F105">
        <v>765</v>
      </c>
      <c r="G105">
        <f t="shared" si="9"/>
        <v>0.388454011741683</v>
      </c>
    </row>
    <row r="106" spans="1:7" ht="12.75">
      <c r="A106">
        <v>270</v>
      </c>
      <c r="B106">
        <f t="shared" si="8"/>
        <v>2.9039955375588793</v>
      </c>
      <c r="C106">
        <v>21960</v>
      </c>
      <c r="D106">
        <v>1979</v>
      </c>
      <c r="E106">
        <v>15</v>
      </c>
      <c r="F106">
        <v>546</v>
      </c>
      <c r="G106">
        <f t="shared" si="9"/>
        <v>0.28754484879548947</v>
      </c>
    </row>
    <row r="107" spans="1:7" ht="12.75">
      <c r="A107">
        <v>300</v>
      </c>
      <c r="B107">
        <f t="shared" si="8"/>
        <v>3.213887282042806</v>
      </c>
      <c r="C107">
        <v>16989</v>
      </c>
      <c r="D107">
        <v>1984</v>
      </c>
      <c r="E107">
        <v>12</v>
      </c>
      <c r="F107">
        <v>367</v>
      </c>
      <c r="G107">
        <f t="shared" si="9"/>
        <v>0.19376278118609408</v>
      </c>
    </row>
    <row r="108" spans="1:7" ht="12.75">
      <c r="A108">
        <v>330</v>
      </c>
      <c r="B108">
        <f t="shared" si="8"/>
        <v>3.523779026526733</v>
      </c>
      <c r="C108">
        <v>14497</v>
      </c>
      <c r="D108">
        <v>2077</v>
      </c>
      <c r="E108">
        <v>11</v>
      </c>
      <c r="F108">
        <v>281</v>
      </c>
      <c r="G108">
        <f t="shared" si="9"/>
        <v>0.14250854075158614</v>
      </c>
    </row>
    <row r="113" spans="1:4" ht="12.75">
      <c r="A113" t="s">
        <v>15</v>
      </c>
      <c r="C113" s="3"/>
      <c r="D113" s="3"/>
    </row>
    <row r="115" spans="1:7" ht="12.75">
      <c r="A115" t="s">
        <v>0</v>
      </c>
      <c r="B115" t="s">
        <v>1</v>
      </c>
      <c r="C115" t="s">
        <v>2</v>
      </c>
      <c r="D115" t="s">
        <v>3</v>
      </c>
      <c r="E115" t="s">
        <v>4</v>
      </c>
      <c r="F115" t="s">
        <v>5</v>
      </c>
      <c r="G115" t="s">
        <v>6</v>
      </c>
    </row>
    <row r="116" spans="1:7" ht="12.75">
      <c r="A116">
        <v>85</v>
      </c>
      <c r="B116">
        <f aca="true" t="shared" si="10" ref="B116:B123">(A116-offset)/gain</f>
        <v>0.9929964465746631</v>
      </c>
      <c r="C116">
        <v>84680</v>
      </c>
      <c r="D116">
        <v>2105</v>
      </c>
      <c r="E116">
        <v>51</v>
      </c>
      <c r="F116">
        <v>1636</v>
      </c>
      <c r="G116">
        <f aca="true" t="shared" si="11" ref="G116:G123">(E116+F116)/(D116-14*2)</f>
        <v>0.8122291766971593</v>
      </c>
    </row>
    <row r="117" spans="1:7" ht="12.75">
      <c r="A117" s="10">
        <v>150</v>
      </c>
      <c r="B117" s="10">
        <f t="shared" si="10"/>
        <v>1.6644285596231714</v>
      </c>
      <c r="C117">
        <v>52154</v>
      </c>
      <c r="D117">
        <v>1959</v>
      </c>
      <c r="E117">
        <v>54</v>
      </c>
      <c r="F117">
        <v>1342</v>
      </c>
      <c r="G117">
        <f t="shared" si="11"/>
        <v>0.7229414810978767</v>
      </c>
    </row>
    <row r="118" spans="1:15" ht="12.75">
      <c r="A118">
        <v>180</v>
      </c>
      <c r="B118">
        <f t="shared" si="10"/>
        <v>1.9743203041070985</v>
      </c>
      <c r="C118">
        <v>42616</v>
      </c>
      <c r="D118">
        <v>2019</v>
      </c>
      <c r="E118">
        <v>42</v>
      </c>
      <c r="F118">
        <v>1198</v>
      </c>
      <c r="G118">
        <f t="shared" si="11"/>
        <v>0.622802611752888</v>
      </c>
      <c r="N118" s="2"/>
      <c r="O118" s="2"/>
    </row>
    <row r="119" spans="1:7" ht="12.75">
      <c r="A119">
        <v>210</v>
      </c>
      <c r="B119">
        <f t="shared" si="10"/>
        <v>2.284212048591025</v>
      </c>
      <c r="C119">
        <v>35228</v>
      </c>
      <c r="D119">
        <v>2106</v>
      </c>
      <c r="E119">
        <v>36</v>
      </c>
      <c r="F119">
        <v>1074</v>
      </c>
      <c r="G119">
        <f t="shared" si="11"/>
        <v>0.534167468719923</v>
      </c>
    </row>
    <row r="120" spans="1:7" ht="12.75">
      <c r="A120">
        <v>240</v>
      </c>
      <c r="B120">
        <f t="shared" si="10"/>
        <v>2.5941037930749524</v>
      </c>
      <c r="C120">
        <v>28577</v>
      </c>
      <c r="D120">
        <v>2014</v>
      </c>
      <c r="E120">
        <v>32</v>
      </c>
      <c r="F120">
        <v>837</v>
      </c>
      <c r="G120">
        <f t="shared" si="11"/>
        <v>0.4375629405840886</v>
      </c>
    </row>
    <row r="121" spans="1:7" ht="12.75">
      <c r="A121">
        <v>270</v>
      </c>
      <c r="B121">
        <f t="shared" si="10"/>
        <v>2.9039955375588793</v>
      </c>
      <c r="C121">
        <v>24082</v>
      </c>
      <c r="D121">
        <v>2031</v>
      </c>
      <c r="E121">
        <v>20</v>
      </c>
      <c r="F121">
        <v>667</v>
      </c>
      <c r="G121">
        <f t="shared" si="11"/>
        <v>0.34298552171742386</v>
      </c>
    </row>
    <row r="122" spans="1:7" ht="12.75">
      <c r="A122">
        <v>300</v>
      </c>
      <c r="B122">
        <f t="shared" si="10"/>
        <v>3.213887282042806</v>
      </c>
      <c r="C122">
        <v>19323</v>
      </c>
      <c r="D122">
        <v>2062</v>
      </c>
      <c r="E122">
        <v>20</v>
      </c>
      <c r="F122">
        <v>467</v>
      </c>
      <c r="G122">
        <f t="shared" si="11"/>
        <v>0.23942969518190757</v>
      </c>
    </row>
    <row r="123" spans="1:7" ht="12.75">
      <c r="A123">
        <v>330</v>
      </c>
      <c r="B123">
        <f t="shared" si="10"/>
        <v>3.523779026526733</v>
      </c>
      <c r="C123">
        <v>16203</v>
      </c>
      <c r="D123">
        <v>1986</v>
      </c>
      <c r="E123">
        <v>10</v>
      </c>
      <c r="F123">
        <v>317</v>
      </c>
      <c r="G123">
        <f t="shared" si="11"/>
        <v>0.16700715015321757</v>
      </c>
    </row>
    <row r="128" spans="1:4" ht="12.75">
      <c r="A128" t="s">
        <v>31</v>
      </c>
      <c r="C128" s="3"/>
      <c r="D128" s="3"/>
    </row>
    <row r="130" spans="1:7" ht="12.75">
      <c r="A130" t="s">
        <v>0</v>
      </c>
      <c r="B130" t="s">
        <v>1</v>
      </c>
      <c r="C130" t="s">
        <v>2</v>
      </c>
      <c r="D130" t="s">
        <v>3</v>
      </c>
      <c r="E130" t="s">
        <v>4</v>
      </c>
      <c r="F130" t="s">
        <v>5</v>
      </c>
      <c r="G130" t="s">
        <v>6</v>
      </c>
    </row>
    <row r="131" spans="1:7" ht="12.75">
      <c r="A131">
        <v>85</v>
      </c>
      <c r="B131">
        <f aca="true" t="shared" si="12" ref="B131:B138">(A131-offset)/gain</f>
        <v>0.9929964465746631</v>
      </c>
      <c r="C131">
        <v>86163</v>
      </c>
      <c r="D131">
        <v>2076</v>
      </c>
      <c r="E131">
        <v>68</v>
      </c>
      <c r="F131">
        <v>1604</v>
      </c>
      <c r="G131">
        <f aca="true" t="shared" si="13" ref="G131:G138">(E131+F131)/(D131-14*2)</f>
        <v>0.81640625</v>
      </c>
    </row>
    <row r="132" spans="1:7" ht="12.75">
      <c r="A132">
        <v>150</v>
      </c>
      <c r="B132">
        <f t="shared" si="12"/>
        <v>1.6644285596231714</v>
      </c>
      <c r="G132">
        <f t="shared" si="13"/>
        <v>0</v>
      </c>
    </row>
    <row r="133" spans="1:7" ht="12.75">
      <c r="A133">
        <v>180</v>
      </c>
      <c r="B133">
        <f t="shared" si="12"/>
        <v>1.9743203041070985</v>
      </c>
      <c r="G133">
        <f t="shared" si="13"/>
        <v>0</v>
      </c>
    </row>
    <row r="134" spans="1:7" ht="12.75">
      <c r="A134">
        <v>210</v>
      </c>
      <c r="B134">
        <f t="shared" si="12"/>
        <v>2.284212048591025</v>
      </c>
      <c r="C134">
        <v>36213</v>
      </c>
      <c r="D134">
        <v>2001</v>
      </c>
      <c r="E134">
        <v>38</v>
      </c>
      <c r="F134">
        <v>1056</v>
      </c>
      <c r="G134">
        <f t="shared" si="13"/>
        <v>0.5544855549923974</v>
      </c>
    </row>
    <row r="135" spans="1:7" ht="12.75">
      <c r="A135">
        <v>240</v>
      </c>
      <c r="B135">
        <f t="shared" si="12"/>
        <v>2.5941037930749524</v>
      </c>
      <c r="C135">
        <v>30058</v>
      </c>
      <c r="D135">
        <v>2011</v>
      </c>
      <c r="E135">
        <v>20</v>
      </c>
      <c r="F135">
        <v>902</v>
      </c>
      <c r="G135">
        <f t="shared" si="13"/>
        <v>0.464952092788704</v>
      </c>
    </row>
    <row r="136" spans="1:7" ht="12.75">
      <c r="A136">
        <v>270</v>
      </c>
      <c r="B136">
        <f t="shared" si="12"/>
        <v>2.9039955375588793</v>
      </c>
      <c r="C136">
        <v>25127</v>
      </c>
      <c r="D136">
        <v>1959</v>
      </c>
      <c r="E136">
        <v>25</v>
      </c>
      <c r="F136">
        <v>657</v>
      </c>
      <c r="G136">
        <f t="shared" si="13"/>
        <v>0.3531848783013982</v>
      </c>
    </row>
    <row r="137" spans="1:7" ht="12.75">
      <c r="A137">
        <v>300</v>
      </c>
      <c r="B137">
        <f t="shared" si="12"/>
        <v>3.213887282042806</v>
      </c>
      <c r="G137">
        <f t="shared" si="13"/>
        <v>0</v>
      </c>
    </row>
    <row r="138" spans="1:15" ht="12.75">
      <c r="A138">
        <v>330</v>
      </c>
      <c r="B138">
        <f t="shared" si="12"/>
        <v>3.523779026526733</v>
      </c>
      <c r="G138">
        <f t="shared" si="13"/>
        <v>0</v>
      </c>
      <c r="N138" s="2"/>
      <c r="O138" s="2"/>
    </row>
    <row r="143" spans="1:4" ht="12.75">
      <c r="A143" t="s">
        <v>32</v>
      </c>
      <c r="C143" s="3"/>
      <c r="D143" s="3"/>
    </row>
    <row r="145" spans="1:7" ht="12.75">
      <c r="A145" t="s">
        <v>0</v>
      </c>
      <c r="B145" t="s">
        <v>1</v>
      </c>
      <c r="C145" t="s">
        <v>2</v>
      </c>
      <c r="D145" t="s">
        <v>3</v>
      </c>
      <c r="E145" t="s">
        <v>4</v>
      </c>
      <c r="F145" t="s">
        <v>5</v>
      </c>
      <c r="G145" t="s">
        <v>6</v>
      </c>
    </row>
    <row r="146" spans="1:7" ht="12.75">
      <c r="A146">
        <v>85</v>
      </c>
      <c r="B146">
        <f aca="true" t="shared" si="14" ref="B146:B153">(A146-offset)/gain</f>
        <v>0.9929964465746631</v>
      </c>
      <c r="C146">
        <v>84854</v>
      </c>
      <c r="D146">
        <v>2002</v>
      </c>
      <c r="E146">
        <v>77</v>
      </c>
      <c r="F146">
        <v>1535</v>
      </c>
      <c r="G146">
        <f aca="true" t="shared" si="15" ref="G146:G153">(E146+F146)/(D146-14*2)</f>
        <v>0.8166160081053698</v>
      </c>
    </row>
    <row r="147" spans="1:7" ht="12.75">
      <c r="A147">
        <v>150</v>
      </c>
      <c r="B147">
        <f t="shared" si="14"/>
        <v>1.6644285596231714</v>
      </c>
      <c r="G147">
        <f t="shared" si="15"/>
        <v>0</v>
      </c>
    </row>
    <row r="148" spans="1:7" ht="12.75">
      <c r="A148">
        <v>180</v>
      </c>
      <c r="B148">
        <f t="shared" si="14"/>
        <v>1.9743203041070985</v>
      </c>
      <c r="G148">
        <f t="shared" si="15"/>
        <v>0</v>
      </c>
    </row>
    <row r="149" spans="1:7" ht="12.75">
      <c r="A149">
        <v>210</v>
      </c>
      <c r="B149">
        <f t="shared" si="14"/>
        <v>2.284212048591025</v>
      </c>
      <c r="C149">
        <v>37533</v>
      </c>
      <c r="D149">
        <v>2058</v>
      </c>
      <c r="E149">
        <v>50</v>
      </c>
      <c r="F149">
        <v>1158</v>
      </c>
      <c r="G149">
        <f t="shared" si="15"/>
        <v>0.5950738916256157</v>
      </c>
    </row>
    <row r="150" spans="1:7" ht="12.75">
      <c r="A150">
        <v>240</v>
      </c>
      <c r="B150">
        <f t="shared" si="14"/>
        <v>2.5941037930749524</v>
      </c>
      <c r="C150">
        <v>31437</v>
      </c>
      <c r="D150">
        <v>2109</v>
      </c>
      <c r="E150">
        <v>30</v>
      </c>
      <c r="F150">
        <v>999</v>
      </c>
      <c r="G150">
        <f t="shared" si="15"/>
        <v>0.4944738106679481</v>
      </c>
    </row>
    <row r="151" spans="1:7" ht="12.75">
      <c r="A151">
        <v>270</v>
      </c>
      <c r="B151">
        <f t="shared" si="14"/>
        <v>2.9039955375588793</v>
      </c>
      <c r="C151">
        <v>26295</v>
      </c>
      <c r="D151">
        <v>1966</v>
      </c>
      <c r="E151">
        <v>30</v>
      </c>
      <c r="F151">
        <v>771</v>
      </c>
      <c r="G151">
        <f t="shared" si="15"/>
        <v>0.413312693498452</v>
      </c>
    </row>
    <row r="152" spans="1:15" ht="12.75">
      <c r="A152">
        <v>300</v>
      </c>
      <c r="B152">
        <f t="shared" si="14"/>
        <v>3.213887282042806</v>
      </c>
      <c r="G152">
        <f t="shared" si="15"/>
        <v>0</v>
      </c>
      <c r="N152" s="2"/>
      <c r="O152" s="2"/>
    </row>
    <row r="153" spans="1:15" ht="12.75">
      <c r="A153">
        <v>330</v>
      </c>
      <c r="B153">
        <f t="shared" si="14"/>
        <v>3.523779026526733</v>
      </c>
      <c r="G153">
        <f t="shared" si="15"/>
        <v>0</v>
      </c>
      <c r="N153" s="2"/>
      <c r="O153" s="2"/>
    </row>
    <row r="157" spans="1:4" ht="12.75">
      <c r="A157" t="s">
        <v>33</v>
      </c>
      <c r="C157" s="3"/>
      <c r="D157" s="3"/>
    </row>
    <row r="159" spans="1:7" ht="12.75">
      <c r="A159" t="s">
        <v>0</v>
      </c>
      <c r="B159" t="s">
        <v>1</v>
      </c>
      <c r="C159" t="s">
        <v>2</v>
      </c>
      <c r="D159" t="s">
        <v>3</v>
      </c>
      <c r="E159" t="s">
        <v>4</v>
      </c>
      <c r="F159" t="s">
        <v>5</v>
      </c>
      <c r="G159" t="s">
        <v>6</v>
      </c>
    </row>
    <row r="160" spans="1:7" ht="12.75">
      <c r="A160">
        <v>85</v>
      </c>
      <c r="B160">
        <f aca="true" t="shared" si="16" ref="B160:B167">(A160-offset)/gain</f>
        <v>0.9929964465746631</v>
      </c>
      <c r="C160">
        <v>84016</v>
      </c>
      <c r="D160">
        <v>1976</v>
      </c>
      <c r="E160">
        <v>61</v>
      </c>
      <c r="F160">
        <v>1536</v>
      </c>
      <c r="G160">
        <f aca="true" t="shared" si="17" ref="G160:G167">(E160+F160)/(D160-14*2)</f>
        <v>0.8198151950718686</v>
      </c>
    </row>
    <row r="161" spans="1:7" ht="12.75">
      <c r="A161">
        <v>150</v>
      </c>
      <c r="B161">
        <f t="shared" si="16"/>
        <v>1.6644285596231714</v>
      </c>
      <c r="G161">
        <f t="shared" si="17"/>
        <v>0</v>
      </c>
    </row>
    <row r="162" spans="1:7" ht="12.75">
      <c r="A162">
        <v>180</v>
      </c>
      <c r="B162">
        <f t="shared" si="16"/>
        <v>1.9743203041070985</v>
      </c>
      <c r="G162">
        <f t="shared" si="17"/>
        <v>0</v>
      </c>
    </row>
    <row r="163" spans="1:7" ht="12.75">
      <c r="A163">
        <v>210</v>
      </c>
      <c r="B163">
        <f t="shared" si="16"/>
        <v>2.284212048591025</v>
      </c>
      <c r="C163">
        <v>38167</v>
      </c>
      <c r="D163">
        <v>2073</v>
      </c>
      <c r="E163">
        <v>42</v>
      </c>
      <c r="F163">
        <v>1186</v>
      </c>
      <c r="G163">
        <f t="shared" si="17"/>
        <v>0.6004889975550122</v>
      </c>
    </row>
    <row r="164" spans="1:7" ht="12.75">
      <c r="A164">
        <v>240</v>
      </c>
      <c r="B164">
        <f t="shared" si="16"/>
        <v>2.5941037930749524</v>
      </c>
      <c r="C164">
        <v>31731</v>
      </c>
      <c r="D164">
        <v>1927</v>
      </c>
      <c r="E164">
        <v>33</v>
      </c>
      <c r="F164">
        <v>908</v>
      </c>
      <c r="G164">
        <f t="shared" si="17"/>
        <v>0.4955239599789363</v>
      </c>
    </row>
    <row r="165" spans="1:7" ht="12.75">
      <c r="A165">
        <v>270</v>
      </c>
      <c r="B165">
        <f t="shared" si="16"/>
        <v>2.9039955375588793</v>
      </c>
      <c r="C165">
        <v>26653</v>
      </c>
      <c r="D165">
        <v>2001</v>
      </c>
      <c r="E165">
        <v>23</v>
      </c>
      <c r="F165">
        <v>805</v>
      </c>
      <c r="G165">
        <f>(E165+F165)/(D165-14*2)</f>
        <v>0.4196654840344653</v>
      </c>
    </row>
    <row r="166" spans="1:15" ht="12.75">
      <c r="A166">
        <v>300</v>
      </c>
      <c r="B166">
        <f t="shared" si="16"/>
        <v>3.213887282042806</v>
      </c>
      <c r="G166">
        <f t="shared" si="17"/>
        <v>0</v>
      </c>
      <c r="N166" s="2"/>
      <c r="O166" s="2"/>
    </row>
    <row r="167" spans="1:7" ht="12.75">
      <c r="A167">
        <v>330</v>
      </c>
      <c r="B167">
        <f t="shared" si="16"/>
        <v>3.523779026526733</v>
      </c>
      <c r="G167">
        <f t="shared" si="17"/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2006-08-14T21:50:42Z</cp:lastPrinted>
  <dcterms:created xsi:type="dcterms:W3CDTF">1996-10-14T23:33:28Z</dcterms:created>
  <dcterms:modified xsi:type="dcterms:W3CDTF">2006-12-21T00:53:05Z</dcterms:modified>
  <cp:category/>
  <cp:version/>
  <cp:contentType/>
  <cp:contentStatus/>
</cp:coreProperties>
</file>