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344" windowWidth="6456" windowHeight="4644" firstSheet="10" activeTab="13"/>
  </bookViews>
  <sheets>
    <sheet name="Summary" sheetId="1" r:id="rId1"/>
    <sheet name="Summary2" sheetId="2" r:id="rId2"/>
    <sheet name="pre-anneal" sheetId="3" r:id="rId3"/>
    <sheet name="5 min anneal" sheetId="4" r:id="rId4"/>
    <sheet name="15min anneal" sheetId="5" r:id="rId5"/>
    <sheet name="40min anneal" sheetId="6" r:id="rId6"/>
    <sheet name="80min anneal" sheetId="7" r:id="rId7"/>
    <sheet name="200min anneal" sheetId="8" r:id="rId8"/>
    <sheet name="400 min anneal" sheetId="9" r:id="rId9"/>
    <sheet name="600min anneal" sheetId="10" r:id="rId10"/>
    <sheet name="1000min anneal" sheetId="11" r:id="rId11"/>
    <sheet name="40hours anneal" sheetId="12" r:id="rId12"/>
    <sheet name="83 hours anneal" sheetId="13" r:id="rId13"/>
    <sheet name="11100 min anneal" sheetId="14" r:id="rId14"/>
    <sheet name="Calibration" sheetId="15" r:id="rId15"/>
  </sheets>
  <definedNames/>
  <calcPr fullCalcOnLoad="1"/>
</workbook>
</file>

<file path=xl/sharedStrings.xml><?xml version="1.0" encoding="utf-8"?>
<sst xmlns="http://schemas.openxmlformats.org/spreadsheetml/2006/main" count="986" uniqueCount="120">
  <si>
    <t>V_thresh</t>
  </si>
  <si>
    <t>Q_thresh</t>
  </si>
  <si>
    <t>non_zero</t>
  </si>
  <si>
    <t>zero</t>
  </si>
  <si>
    <t>missing</t>
  </si>
  <si>
    <t>coin</t>
  </si>
  <si>
    <t>corr_eff</t>
  </si>
  <si>
    <t>Vrev = 40</t>
  </si>
  <si>
    <t>Vrev = 50</t>
  </si>
  <si>
    <t>Vrev = 60</t>
  </si>
  <si>
    <t>Vrev = 70</t>
  </si>
  <si>
    <t>Vrev = 80</t>
  </si>
  <si>
    <t>T= -10 C</t>
  </si>
  <si>
    <t>Vrev = 100</t>
  </si>
  <si>
    <t xml:space="preserve">p-type detector ' 253-4' irradiated </t>
  </si>
  <si>
    <t>Vrev = 90</t>
  </si>
  <si>
    <t>Vrev = 200</t>
  </si>
  <si>
    <t>Vrev = 150</t>
  </si>
  <si>
    <t>Vrev = 250</t>
  </si>
  <si>
    <t>Vrev = 300</t>
  </si>
  <si>
    <t>Vrev = 350</t>
  </si>
  <si>
    <t>Calibration for irradiated p-type</t>
  </si>
  <si>
    <t>gain</t>
  </si>
  <si>
    <t>offset</t>
  </si>
  <si>
    <t>attenuation: 26 dB</t>
  </si>
  <si>
    <t>I = 4.1 uA</t>
  </si>
  <si>
    <t>I = 4.8 uA</t>
  </si>
  <si>
    <t>I = 6.7 uA</t>
  </si>
  <si>
    <t>I = 7uA</t>
  </si>
  <si>
    <t>I = 13.4 uA</t>
  </si>
  <si>
    <t>Vrev = 400</t>
  </si>
  <si>
    <t>V</t>
  </si>
  <si>
    <t>Med Q</t>
  </si>
  <si>
    <t>attemuation is 26 dB</t>
  </si>
  <si>
    <t>I = 3.14 uA</t>
  </si>
  <si>
    <t>I =  4.2 uA</t>
  </si>
  <si>
    <t>I =  6.1 uA</t>
  </si>
  <si>
    <t>I = 7.2 uA</t>
  </si>
  <si>
    <t>I = 9.5 uA</t>
  </si>
  <si>
    <t>I = 10.6 uA</t>
  </si>
  <si>
    <t>I = 24uA @ -10, 12uA @ -20</t>
  </si>
  <si>
    <t>IV @ -15C</t>
  </si>
  <si>
    <t>I</t>
  </si>
  <si>
    <t>I = 20 uA @ -20 C, 11 @ -30C</t>
  </si>
  <si>
    <t>I = 12 uA @ -30C</t>
  </si>
  <si>
    <t>eff at 1fC</t>
  </si>
  <si>
    <t>new med Q</t>
  </si>
  <si>
    <t>T = -10</t>
  </si>
  <si>
    <t>I = 4.7</t>
  </si>
  <si>
    <t>I = 5.9</t>
  </si>
  <si>
    <t>I = 3.7</t>
  </si>
  <si>
    <t>I = 6.3</t>
  </si>
  <si>
    <t>I = 8.4</t>
  </si>
  <si>
    <t>I = 25.5</t>
  </si>
  <si>
    <t xml:space="preserve">I = 32 </t>
  </si>
  <si>
    <t>I = 5</t>
  </si>
  <si>
    <t>I = 6.0</t>
  </si>
  <si>
    <t>I = 7.01</t>
  </si>
  <si>
    <t>I = 7.5</t>
  </si>
  <si>
    <t>I = 21.8</t>
  </si>
  <si>
    <t>T = -10 C</t>
  </si>
  <si>
    <t>eff at 1 fC</t>
  </si>
  <si>
    <t>med Q</t>
  </si>
  <si>
    <t>pre anneal</t>
  </si>
  <si>
    <t>eff at .97 fC</t>
  </si>
  <si>
    <t>5 min anneal</t>
  </si>
  <si>
    <t>15 min anneal</t>
  </si>
  <si>
    <t>40 min anneal</t>
  </si>
  <si>
    <t>80 min anneal</t>
  </si>
  <si>
    <t>Voltage</t>
  </si>
  <si>
    <t>T = 22C</t>
  </si>
  <si>
    <t>T = 0 C</t>
  </si>
  <si>
    <t>T = -20 C</t>
  </si>
  <si>
    <t>Current mA</t>
  </si>
  <si>
    <t>Current (uA)</t>
  </si>
  <si>
    <t>T = -20C</t>
  </si>
  <si>
    <t>I = .95 uA</t>
  </si>
  <si>
    <t>I = 1 uA</t>
  </si>
  <si>
    <t>I = 9uA</t>
  </si>
  <si>
    <t>I = 14 uA</t>
  </si>
  <si>
    <t>200 min anneal</t>
  </si>
  <si>
    <t>T = -20</t>
  </si>
  <si>
    <t>I = .72 uA</t>
  </si>
  <si>
    <t>I = .65 uA</t>
  </si>
  <si>
    <t>I = .89 uA</t>
  </si>
  <si>
    <t>I = 1.1 uA</t>
  </si>
  <si>
    <t>I = 1.3</t>
  </si>
  <si>
    <t>I = 9.4 uA</t>
  </si>
  <si>
    <t>I = 12.4 uA</t>
  </si>
  <si>
    <t>400 min anneal</t>
  </si>
  <si>
    <t>I = .856 uA</t>
  </si>
  <si>
    <t>I = 1.08</t>
  </si>
  <si>
    <t>I = 1.2</t>
  </si>
  <si>
    <t>I = 1.5</t>
  </si>
  <si>
    <t>I = 10</t>
  </si>
  <si>
    <t>I = 15.6</t>
  </si>
  <si>
    <t>600 min anneal</t>
  </si>
  <si>
    <t>I = .6 uA</t>
  </si>
  <si>
    <t>I = .88</t>
  </si>
  <si>
    <t>I = 1.4</t>
  </si>
  <si>
    <t>I = 11.8</t>
  </si>
  <si>
    <t>I = 18.5</t>
  </si>
  <si>
    <t>1000 min anneal</t>
  </si>
  <si>
    <t>V = 200V</t>
  </si>
  <si>
    <t>anneal time</t>
  </si>
  <si>
    <t>2fC</t>
  </si>
  <si>
    <t>voltage</t>
  </si>
  <si>
    <t>I = .5 uA</t>
  </si>
  <si>
    <t>I = .55 uA</t>
  </si>
  <si>
    <t>I = .84</t>
  </si>
  <si>
    <t>I = 1.1</t>
  </si>
  <si>
    <t>I = 11.4</t>
  </si>
  <si>
    <t>I = 18 uA</t>
  </si>
  <si>
    <t>I = .44 uA</t>
  </si>
  <si>
    <t>I = .52</t>
  </si>
  <si>
    <t>I = .49 uA</t>
  </si>
  <si>
    <t>I = .6</t>
  </si>
  <si>
    <t>I = .8</t>
  </si>
  <si>
    <t>I = 15 uA</t>
  </si>
  <si>
    <t>I = .27 uA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</si>
</sst>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vertAlign val="superscript"/>
      <sz val="10"/>
      <name val="Arial"/>
      <family val="0"/>
    </font>
    <font>
      <vertAlign val="superscript"/>
      <sz val="8.25"/>
      <name val="Arial"/>
      <family val="0"/>
    </font>
    <font>
      <vertAlign val="superscript"/>
      <sz val="8"/>
      <name val="Arial"/>
      <family val="0"/>
    </font>
    <font>
      <vertAlign val="superscript"/>
      <sz val="8.5"/>
      <name val="Arial"/>
      <family val="0"/>
    </font>
    <font>
      <vertAlign val="superscript"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2525"/>
          <c:w val="0.89175"/>
          <c:h val="0.91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Summary!$K$1:$K$2</c:f>
              <c:strCache>
                <c:ptCount val="1"/>
                <c:pt idx="0">
                  <c:v>80 min anneal T = 22C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Summary!$K$4:$K$20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Summary!$L$4:$L$20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Summary!$M$2</c:f>
              <c:strCache>
                <c:ptCount val="1"/>
                <c:pt idx="0">
                  <c:v>T = 0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Summary!$K$4:$K$21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Summary!$M$4:$M$21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43682925"/>
        <c:axId val="57602006"/>
      </c:scatterChart>
      <c:valAx>
        <c:axId val="43682925"/>
        <c:scaling>
          <c:orientation val="minMax"/>
          <c:max val="4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crossBetween val="midCat"/>
        <c:dispUnits/>
      </c:val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829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200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'pre-anneal'!$B$132:$B$140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'pre-anneal'!$G$132:$G$140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49818583"/>
        <c:axId val="45714064"/>
      </c:scatterChart>
      <c:valAx>
        <c:axId val="49818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4064"/>
        <c:crosses val="autoZero"/>
        <c:crossBetween val="midCat"/>
        <c:dispUnits/>
      </c:val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185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250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'pre-anneal'!$B$151:$B$160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'pre-anneal'!$G$151:$G$160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8773393"/>
        <c:axId val="11851674"/>
      </c:scatterChart>
      <c:valAx>
        <c:axId val="877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51674"/>
        <c:crosses val="autoZero"/>
        <c:crossBetween val="midCat"/>
        <c:dispUnits/>
      </c:valAx>
      <c:valAx>
        <c:axId val="11851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3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300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'pre-anneal'!$B$167:$B$175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'pre-anneal'!$G$167:$G$175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9556203"/>
        <c:axId val="20461508"/>
      </c:scatterChart>
      <c:valAx>
        <c:axId val="3955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crossBetween val="midCat"/>
        <c:dispUnits/>
      </c:valAx>
      <c:valAx>
        <c:axId val="2046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56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350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'pre-anneal'!$B$186:$B$194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'pre-anneal'!$G$186:$G$194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49935845"/>
        <c:axId val="46769422"/>
      </c:scatterChart>
      <c:valAx>
        <c:axId val="4993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69422"/>
        <c:crosses val="autoZero"/>
        <c:crossBetween val="midCat"/>
        <c:dispUnits/>
      </c:valAx>
      <c:valAx>
        <c:axId val="4676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35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'pre-anneal'!$B$203:$B$211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'pre-anneal'!$G$203:$G$211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8271615"/>
        <c:axId val="30226808"/>
      </c:scatterChart>
      <c:valAx>
        <c:axId val="18271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crossBetween val="midCat"/>
        <c:dispUnits/>
      </c:valAx>
      <c:valAx>
        <c:axId val="3022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71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Med Q vs 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'pre-anneal'!$Q$2:$Q$11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'pre-anneal'!$R$2:$R$11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efficiency at .97 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'pre-anneal'!$Q$2:$Q$10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'pre-anneal'!$S$2:$S$10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605817"/>
        <c:axId val="32452354"/>
      </c:scatterChart>
      <c:valAx>
        <c:axId val="360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crossBetween val="midCat"/>
        <c:dispUnits/>
      </c:valAx>
      <c:valAx>
        <c:axId val="3245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58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6825"/>
          <c:w val="0.9022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anneal'!$A$147</c:f>
              <c:strCache>
                <c:ptCount val="1"/>
                <c:pt idx="0">
                  <c:v>IV @ -15C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 min anneal'!$B$149:$B$164</c:f>
              <c:numCache>
                <c:ptCount val="1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150</c:v>
                </c:pt>
                <c:pt idx="11">
                  <c:v>200</c:v>
                </c:pt>
                <c:pt idx="12">
                  <c:v>250</c:v>
                </c:pt>
                <c:pt idx="13">
                  <c:v>300</c:v>
                </c:pt>
                <c:pt idx="14">
                  <c:v>350</c:v>
                </c:pt>
                <c:pt idx="15">
                  <c:v>400</c:v>
                </c:pt>
              </c:numCache>
            </c:numRef>
          </c:xVal>
          <c:yVal>
            <c:numRef>
              <c:f>'5 min anneal'!$C$149:$C$164</c:f>
              <c:numCache>
                <c:ptCount val="16"/>
                <c:pt idx="0">
                  <c:v>1</c:v>
                </c:pt>
                <c:pt idx="1">
                  <c:v>1.4</c:v>
                </c:pt>
                <c:pt idx="2">
                  <c:v>1.8</c:v>
                </c:pt>
                <c:pt idx="3">
                  <c:v>2.1</c:v>
                </c:pt>
                <c:pt idx="4">
                  <c:v>2.4</c:v>
                </c:pt>
                <c:pt idx="5">
                  <c:v>2.6</c:v>
                </c:pt>
                <c:pt idx="6">
                  <c:v>2.9</c:v>
                </c:pt>
                <c:pt idx="7">
                  <c:v>3.2</c:v>
                </c:pt>
                <c:pt idx="8">
                  <c:v>3.4</c:v>
                </c:pt>
                <c:pt idx="9">
                  <c:v>3.6</c:v>
                </c:pt>
                <c:pt idx="10">
                  <c:v>4.5</c:v>
                </c:pt>
                <c:pt idx="11">
                  <c:v>8</c:v>
                </c:pt>
                <c:pt idx="12">
                  <c:v>16</c:v>
                </c:pt>
                <c:pt idx="13">
                  <c:v>25</c:v>
                </c:pt>
                <c:pt idx="14">
                  <c:v>32</c:v>
                </c:pt>
                <c:pt idx="15">
                  <c:v>49</c:v>
                </c:pt>
              </c:numCache>
            </c:numRef>
          </c:yVal>
          <c:smooth val="1"/>
        </c:ser>
        <c:axId val="23635731"/>
        <c:axId val="11394988"/>
      </c:scatterChart>
      <c:valAx>
        <c:axId val="2363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crossBetween val="midCat"/>
        <c:dispUnits/>
      </c:valAx>
      <c:valAx>
        <c:axId val="1139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357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8"/>
          <c:w val="0.9035"/>
          <c:h val="0.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anneal'!$J$1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 min anneal'!$I$2:$I$10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'5 min anneal'!$J$2:$J$10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'5 min anneal'!$K$1</c:f>
              <c:strCache>
                <c:ptCount val="1"/>
                <c:pt idx="0">
                  <c:v>new med Q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'5 min anneal'!$I$2:$I$10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'5 min anneal'!$K$2:$K$10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5446029"/>
        <c:axId val="50578806"/>
      </c:scatterChart>
      <c:valAx>
        <c:axId val="3544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crossBetween val="midCat"/>
        <c:dispUnits/>
      </c:valAx>
      <c:valAx>
        <c:axId val="5057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60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17775"/>
          <c:w val="0.89875"/>
          <c:h val="0.77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anneal'!$A$10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anneal'!$B$13:$B$17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'5 min anneal'!$G$13:$G$17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2556071"/>
        <c:axId val="3242592"/>
      </c:scatterChart>
      <c:valAx>
        <c:axId val="525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2592"/>
        <c:crosses val="autoZero"/>
        <c:crossBetween val="midCat"/>
        <c:dispUnits/>
      </c:valAx>
      <c:valAx>
        <c:axId val="3242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6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60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565"/>
          <c:w val="0.895"/>
          <c:h val="0.80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anneal'!$A$21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anneal'!$B$24:$B$29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'5 min anneal'!$G$24:$G$29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29183329"/>
        <c:axId val="61323370"/>
      </c:scatterChart>
      <c:valAx>
        <c:axId val="2918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23370"/>
        <c:crosses val="autoZero"/>
        <c:crossBetween val="midCat"/>
        <c:dispUnits/>
      </c:valAx>
      <c:valAx>
        <c:axId val="6132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833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 at 1 fC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5475"/>
          <c:w val="0.89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Summary!$A$4:$A$12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Summary!$C$4:$C$12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Summary!$A$15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Summary!$A$18:$A$24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Summary!$A$28</c:f>
              <c:strCache>
                <c:ptCount val="1"/>
                <c:pt idx="0">
                  <c:v>15 min anneal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Summary!$A$31:$A$37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Summary!$B$31:$B$37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Summary!$G$1</c:f>
              <c:strCache>
                <c:ptCount val="1"/>
                <c:pt idx="0">
                  <c:v>40 min anneal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Summary!$G$3:$G$10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Summary!$H$3:$H$10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Summary!$G$12</c:f>
              <c:strCache>
                <c:ptCount val="1"/>
                <c:pt idx="0">
                  <c:v>80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Summary!$G$14:$G$20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Summary!$H$14:$H$20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Summary!$G$22</c:f>
              <c:strCache>
                <c:ptCount val="1"/>
                <c:pt idx="0">
                  <c:v>200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Summary!$G$24:$G$30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Summary!$H$24:$H$30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Summary!$G$32</c:f>
              <c:strCache>
                <c:ptCount val="1"/>
                <c:pt idx="0">
                  <c:v>400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Summary!$G$34:$G$40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Summary!$H$34:$H$40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Summary!$A$39</c:f>
              <c:strCache>
                <c:ptCount val="1"/>
                <c:pt idx="0">
                  <c:v>600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Summary!$A$42:$A$48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Summary!$B$42:$B$48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Summary!$G$42</c:f>
              <c:strCache>
                <c:ptCount val="1"/>
                <c:pt idx="0">
                  <c:v>1000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Summary!$G$44:$G$50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Summary!$H$44:$H$50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8656007"/>
        <c:axId val="35250880"/>
      </c:scatterChart>
      <c:val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crossBetween val="midCat"/>
        <c:dispUnits/>
      </c:valAx>
      <c:valAx>
        <c:axId val="3525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6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516"/>
          <c:w val="0.38075"/>
          <c:h val="0.36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60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55"/>
          <c:w val="0.89575"/>
          <c:h val="0.7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anneal'!$A$35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anneal'!$B$38:$B$45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'5 min anneal'!$G$38:$G$45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5039419"/>
        <c:axId val="1137044"/>
      </c:scatterChart>
      <c:valAx>
        <c:axId val="1503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7044"/>
        <c:crosses val="autoZero"/>
        <c:crossBetween val="midCat"/>
        <c:dispUnits/>
      </c:valAx>
      <c:valAx>
        <c:axId val="113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394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 rev = 100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53"/>
          <c:w val="0.89775"/>
          <c:h val="0.7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anneal'!$A$51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anneal'!$B$54:$B$62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'5 min anneal'!$G$54:$G$62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0233397"/>
        <c:axId val="24991710"/>
      </c:scatterChart>
      <c:valAx>
        <c:axId val="10233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91710"/>
        <c:crosses val="autoZero"/>
        <c:crossBetween val="midCat"/>
        <c:dispUnits/>
      </c:valAx>
      <c:valAx>
        <c:axId val="2499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333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150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5925"/>
          <c:w val="0.8985"/>
          <c:h val="0.7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anneal'!$A$65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anneal'!$B$68:$B$76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'5 min anneal'!$G$68:$G$76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3598799"/>
        <c:axId val="11062600"/>
      </c:scatterChart>
      <c:valAx>
        <c:axId val="2359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62600"/>
        <c:crosses val="autoZero"/>
        <c:crossBetween val="midCat"/>
        <c:dispUnits/>
      </c:val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98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200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5"/>
          <c:w val="0.89325"/>
          <c:h val="0.7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anneal'!$A$82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anneal'!$B$85:$B$92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'5 min anneal'!$G$85:$G$92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2454537"/>
        <c:axId val="23655378"/>
      </c:scatterChart>
      <c:valAx>
        <c:axId val="32454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55378"/>
        <c:crosses val="autoZero"/>
        <c:crossBetween val="midCat"/>
        <c:dispUnits/>
      </c:valAx>
      <c:valAx>
        <c:axId val="2365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545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250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4325"/>
          <c:w val="0.88525"/>
          <c:h val="0.8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anneal'!$A$101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'5 min anneal'!$B$104:$B$110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'5 min anneal'!$G$104:$G$110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1571811"/>
        <c:axId val="37037436"/>
      </c:scatterChart>
      <c:valAx>
        <c:axId val="1157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7436"/>
        <c:crosses val="autoZero"/>
        <c:crossBetween val="midCat"/>
        <c:dispUnits/>
      </c:val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71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300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495"/>
          <c:w val="0.89625"/>
          <c:h val="0.84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anneal'!$A$116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'5 min anneal'!$B$120:$B$124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'5 min anneal'!$G$120:$G$124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64901469"/>
        <c:axId val="47242310"/>
      </c:scatterChart>
      <c:val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2310"/>
        <c:crosses val="autoZero"/>
        <c:crossBetween val="midCat"/>
        <c:dispUnits/>
      </c:val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01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49"/>
          <c:w val="0.88475"/>
          <c:h val="0.8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min anneal'!$A$133</c:f>
              <c:strCache>
                <c:ptCount val="1"/>
                <c:pt idx="0">
                  <c:v>Vrev = 350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('5 min anneal'!$B$136:$B$137,'5 min anneal'!$B$139)</c:f>
              <c:numCache/>
            </c:numRef>
          </c:xVal>
          <c:yVal>
            <c:numRef>
              <c:f>('5 min anneal'!$G$136:$G$137,'5 min anneal'!$G$139)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2527607"/>
        <c:axId val="1421872"/>
      </c:scatterChart>
      <c:valAx>
        <c:axId val="2252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crossBetween val="midCat"/>
        <c:dispUnits/>
      </c:valAx>
      <c:valAx>
        <c:axId val="142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276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40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5375"/>
          <c:w val="0.8965"/>
          <c:h val="0.79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anneal'!$A$16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ly"/>
            <c:order val="2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'15min anneal'!$B$19:$B$23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'15min anneal'!$G$19:$G$23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2796849"/>
        <c:axId val="48062778"/>
      </c:scatterChart>
      <c:val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crossBetween val="midCat"/>
        <c:dispUnits/>
      </c:val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68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60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825"/>
          <c:w val="0.897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'15min anneal'!$A$27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anneal'!$B$30:$B$35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'15min anneal'!$G$30:$G$35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29911819"/>
        <c:axId val="770916"/>
      </c:scatterChart>
      <c:valAx>
        <c:axId val="2991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916"/>
        <c:crosses val="autoZero"/>
        <c:crossBetween val="midCat"/>
        <c:dispUnits/>
      </c:val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18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80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'15min anneal'!$A$41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anneal'!$B$44:$B$51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'15min anneal'!$G$44:$G$51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938245"/>
        <c:axId val="62444206"/>
      </c:scatterChart>
      <c:valAx>
        <c:axId val="693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crossBetween val="midCat"/>
        <c:dispUnits/>
      </c:valAx>
      <c:valAx>
        <c:axId val="6244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382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 Q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Summary!$A$1</c:f>
              <c:strCache>
                <c:ptCount val="1"/>
                <c:pt idx="0">
                  <c:v>pre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Summary!$A$4:$A$12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Summary!$B$4:$B$12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Summary!$A$15</c:f>
              <c:strCache>
                <c:ptCount val="1"/>
                <c:pt idx="0">
                  <c:v>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Summary!$A$18:$A$26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Summary!$C$18:$C$26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Summary!$A$28</c:f>
              <c:strCache>
                <c:ptCount val="1"/>
                <c:pt idx="0">
                  <c:v>15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Summary!$A$31:$A$37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Summary!$C$31:$C$37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Summary!$G$1</c:f>
              <c:strCache>
                <c:ptCount val="1"/>
                <c:pt idx="0">
                  <c:v>40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Summary!$G$3:$G$10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Summary!$I$3:$I$10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Summary!$G$12</c:f>
              <c:strCache>
                <c:ptCount val="1"/>
                <c:pt idx="0">
                  <c:v>80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Summary!$G$14:$G$20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Summary!$I$14:$I$20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Summary!$G$22</c:f>
              <c:strCache>
                <c:ptCount val="1"/>
                <c:pt idx="0">
                  <c:v>200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Summary!$G$24:$G$30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Summary!$I$24:$I$30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Summary!$G$32</c:f>
              <c:strCache>
                <c:ptCount val="1"/>
                <c:pt idx="0">
                  <c:v>400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Summary!$G$34:$G$40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Summary!$I$34:$I$40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Summary!$A$39</c:f>
              <c:strCache>
                <c:ptCount val="1"/>
                <c:pt idx="0">
                  <c:v>600 min anneal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Summary!$A$42:$A$48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Summary!$C$42:$C$48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Summary!$G$42</c:f>
              <c:strCache>
                <c:ptCount val="1"/>
                <c:pt idx="0">
                  <c:v>1000 min anneal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Summary!$G$44:$G$51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Summary!$I$44:$I$51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8822465"/>
        <c:axId val="36749002"/>
      </c:scatterChart>
      <c:valAx>
        <c:axId val="4882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crossBetween val="midCat"/>
        <c:dispUnits/>
      </c:valAx>
      <c:valAx>
        <c:axId val="3674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224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'15min anneal'!$A$58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anneal'!$B$61:$B$69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'15min anneal'!$G$61:$G$69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5126943"/>
        <c:axId val="24815896"/>
      </c:scatterChart>
      <c:valAx>
        <c:axId val="25126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crossBetween val="midCat"/>
        <c:dispUnits/>
      </c:valAx>
      <c:valAx>
        <c:axId val="248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269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150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'15min anneal'!$A$73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anneal'!$B$76:$B$84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'15min anneal'!$G$76:$G$84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2016473"/>
        <c:axId val="63930530"/>
      </c:scatterChart>
      <c:val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0530"/>
        <c:crosses val="autoZero"/>
        <c:crossBetween val="midCat"/>
        <c:dispUnits/>
      </c:val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164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200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'15min anneal'!$A$90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anneal'!$B$93:$B$100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'15min anneal'!$G$93:$G$100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8503859"/>
        <c:axId val="10990412"/>
      </c:scatterChart>
      <c:val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0412"/>
        <c:crosses val="autoZero"/>
        <c:crossBetween val="midCat"/>
        <c:dispUnits/>
      </c:val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03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Vrev = 250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'15min anneal'!$A$108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'15min anneal'!$B$111:$B$117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'15min anneal'!$G$111:$G$117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1804845"/>
        <c:axId val="17808150"/>
      </c:scatterChart>
      <c:valAx>
        <c:axId val="318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08150"/>
        <c:crosses val="autoZero"/>
        <c:crossBetween val="midCat"/>
        <c:dispUnits/>
      </c:val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4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40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25"/>
          <c:w val="0.896"/>
          <c:h val="0.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anneal'!$A$18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anneal'!$B$21:$B$25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'40min anneal'!$G$21:$G$25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26055623"/>
        <c:axId val="33174016"/>
      </c:scatterChart>
      <c:val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74016"/>
        <c:crosses val="autoZero"/>
        <c:crossBetween val="midCat"/>
        <c:dispUnits/>
      </c:val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556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60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975"/>
          <c:w val="0.89675"/>
          <c:h val="0.7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anneal'!$A$29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anneal'!$B$32:$B$36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'40min anneal'!$G$32:$G$36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0130689"/>
        <c:axId val="2740746"/>
      </c:scatterChart>
      <c:valAx>
        <c:axId val="30130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0746"/>
        <c:crosses val="autoZero"/>
        <c:crossBetween val="midCat"/>
        <c:dispUnits/>
      </c:valAx>
      <c:valAx>
        <c:axId val="274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306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59"/>
          <c:w val="0.89875"/>
          <c:h val="0.8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anneal'!$A$42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anneal'!$B$45:$B$51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'40min anneal'!$G$45:$G$51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4666715"/>
        <c:axId val="20673844"/>
      </c:scatterChart>
      <c:valAx>
        <c:axId val="2466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73844"/>
        <c:crosses val="autoZero"/>
        <c:crossBetween val="midCat"/>
        <c:dispUnits/>
      </c:val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66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1"/>
          <c:w val="0.898"/>
          <c:h val="0.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anneal'!$A$59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anneal'!$B$62:$B$69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'40min anneal'!$G$62:$G$69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1846869"/>
        <c:axId val="63968638"/>
      </c:scatterChart>
      <c:val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68638"/>
        <c:crosses val="autoZero"/>
        <c:crossBetween val="midCat"/>
        <c:dispUnits/>
      </c:valAx>
      <c:valAx>
        <c:axId val="6396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46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150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585"/>
          <c:w val="0.8955"/>
          <c:h val="0.8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anneal'!$A$75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anneal'!$B$78:$B$85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'40min anneal'!$G$78:$G$85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8846831"/>
        <c:axId val="14077160"/>
      </c:scatterChart>
      <c:valAx>
        <c:axId val="38846831"/>
        <c:scaling>
          <c:orientation val="minMax"/>
          <c:max val="1.8"/>
          <c:min val="1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7160"/>
        <c:crosses val="autoZero"/>
        <c:crossBetween val="midCat"/>
        <c:dispUnits/>
        <c:majorUnit val="0.05"/>
        <c:minorUnit val="0.01"/>
      </c:valAx>
      <c:valAx>
        <c:axId val="14077160"/>
        <c:scaling>
          <c:orientation val="minMax"/>
          <c:max val="0.52"/>
          <c:min val="0.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crossBetween val="midCat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200</a:t>
            </a:r>
          </a:p>
        </c:rich>
      </c:tx>
      <c:layout>
        <c:manualLayout>
          <c:xMode val="factor"/>
          <c:yMode val="factor"/>
          <c:x val="0.00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5175"/>
          <c:w val="0.894"/>
          <c:h val="0.8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anneal'!$A$92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anneal'!$B$95:$B$103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'40min anneal'!$G$95:$G$103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9585577"/>
        <c:axId val="66508146"/>
      </c:scatterChart>
      <c:val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08146"/>
        <c:crosses val="autoZero"/>
        <c:crossBetween val="midCat"/>
        <c:dispUnits/>
      </c:valAx>
      <c:valAx>
        <c:axId val="6650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 Q at 200V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265"/>
          <c:w val="0.888"/>
          <c:h val="0.8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Summary2!$B$2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Summary2!$A$3:$A$11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Summary2!$B$3:$B$11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62305563"/>
        <c:axId val="23879156"/>
      </c:scatterChart>
      <c:valAx>
        <c:axId val="62305563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anneal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crossBetween val="midCat"/>
        <c:dispUnits/>
      </c:val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med Q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05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875"/>
          <c:y val="0.0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250</a:t>
            </a:r>
          </a:p>
        </c:rich>
      </c:tx>
      <c:layout>
        <c:manualLayout>
          <c:xMode val="factor"/>
          <c:yMode val="factor"/>
          <c:x val="0.00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275"/>
          <c:w val="0.89675"/>
          <c:h val="0.79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anneal'!$A$110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anneal'!$B$113:$B$119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'40min anneal'!$G$113:$G$119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1702403"/>
        <c:axId val="18450716"/>
      </c:scatterChart>
      <c:val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0716"/>
        <c:crosses val="autoZero"/>
        <c:crossBetween val="midCat"/>
        <c:dispUnits/>
      </c:valAx>
      <c:valAx>
        <c:axId val="1845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325"/>
          <c:w val="0.903"/>
          <c:h val="0.8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anneal'!$B$2</c:f>
              <c:strCache>
                <c:ptCount val="1"/>
                <c:pt idx="0">
                  <c:v>eff at 1 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'40min anneal'!$A$3:$A$10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'40min anneal'!$B$3:$B$10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'40min anneal'!$C$2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'40min anneal'!$A$3:$A$10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'40min anneal'!$C$3:$C$10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1838717"/>
        <c:axId val="18112998"/>
      </c:scatterChart>
      <c:val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12998"/>
        <c:crosses val="autoZero"/>
        <c:crossBetween val="midCat"/>
        <c:dispUnits/>
      </c:val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at 1fC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38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Vrev = 300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6475"/>
          <c:w val="0.889"/>
          <c:h val="0.7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'40min anneal'!$A$125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'40min anneal'!$B$128:$B$130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'40min anneal'!$G$128:$G$130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8799255"/>
        <c:axId val="57866704"/>
      </c:scatterChart>
      <c:valAx>
        <c:axId val="2879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6704"/>
        <c:crosses val="autoZero"/>
        <c:crossBetween val="midCat"/>
        <c:dispUnits/>
      </c:val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99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'80min anneal'!$A$14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anneal'!$B$17:$B$20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'80min anneal'!$G$17:$G$20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1038289"/>
        <c:axId val="56691418"/>
      </c:scatterChart>
      <c:valAx>
        <c:axId val="5103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91418"/>
        <c:crosses val="autoZero"/>
        <c:crossBetween val="midCat"/>
        <c:dispUnits/>
      </c:valAx>
      <c:valAx>
        <c:axId val="56691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'80min anneal'!$A$24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anneal'!$B$27:$B$32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'80min anneal'!$G$27:$G$32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40460715"/>
        <c:axId val="28602116"/>
      </c:scatterChart>
      <c:val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2116"/>
        <c:crosses val="autoZero"/>
        <c:crossBetween val="midCat"/>
        <c:dispUnits/>
      </c:val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60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'80min anneal'!$A$38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anneal'!$B$41:$B$46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'80min anneal'!$G$41:$G$46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6092453"/>
        <c:axId val="35070030"/>
      </c:scatterChart>
      <c:val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0030"/>
        <c:crosses val="autoZero"/>
        <c:crossBetween val="midCat"/>
        <c:dispUnits/>
      </c:valAx>
      <c:valAx>
        <c:axId val="3507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924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'80min anneal'!$A$54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anneal'!$B$57:$B$64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'80min anneal'!$G$57:$G$64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7194815"/>
        <c:axId val="22100152"/>
      </c:scatterChart>
      <c:valAx>
        <c:axId val="4719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00152"/>
        <c:crosses val="autoZero"/>
        <c:crossBetween val="midCat"/>
        <c:dispUnits/>
      </c:valAx>
      <c:valAx>
        <c:axId val="2210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948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'80min anneal'!$A$71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'80min anneal'!$G$74:$G$81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4683641"/>
        <c:axId val="45281858"/>
      </c:scatterChart>
      <c:valAx>
        <c:axId val="646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1858"/>
        <c:crosses val="autoZero"/>
        <c:crossBetween val="midCat"/>
        <c:dispUnits/>
      </c:valAx>
      <c:valAx>
        <c:axId val="4528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36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'80min anneal'!$A$87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anneal'!$B$90:$B$97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'80min anneal'!$G$90:$G$97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883539"/>
        <c:axId val="43951852"/>
      </c:scatterChart>
      <c:valAx>
        <c:axId val="488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51852"/>
        <c:crosses val="autoZero"/>
        <c:crossBetween val="midCat"/>
        <c:dispUnits/>
      </c:valAx>
      <c:valAx>
        <c:axId val="4395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3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'80min anneal'!$A$104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'80min anneal'!$B$107:$B$113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'80min anneal'!$G$107:$G$113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0022349"/>
        <c:axId val="3330230"/>
      </c:scatterChart>
      <c:valAx>
        <c:axId val="60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0230"/>
        <c:crosses val="autoZero"/>
        <c:crossBetween val="midCat"/>
        <c:dispUnits/>
      </c:valAx>
      <c:valAx>
        <c:axId val="3330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23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'pre-anneal'!$B$13:$B$17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'pre-anneal'!$G$13:$G$17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3585813"/>
        <c:axId val="55163454"/>
      </c:scatterChart>
      <c:val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3454"/>
        <c:crosses val="autoZero"/>
        <c:crossBetween val="midCat"/>
        <c:dispUnits/>
      </c:valAx>
      <c:valAx>
        <c:axId val="5516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85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'200min anneal'!$B$2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'200min anneal'!$A$3:$A$9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'200min anneal'!$B$3:$B$9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'200min anneal'!$C$2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'200min anneal'!$A$3:$A$9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'200min anneal'!$C$3:$C$9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9972071"/>
        <c:axId val="1313184"/>
      </c:scatterChart>
      <c:valAx>
        <c:axId val="2997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3184"/>
        <c:crosses val="autoZero"/>
        <c:crossBetween val="midCat"/>
        <c:dispUnits/>
      </c:valAx>
      <c:valAx>
        <c:axId val="1313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2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48"/>
          <c:w val="0.895"/>
          <c:h val="0.79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anneal'!$A$14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anneal'!$B$17:$B$21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'200min anneal'!$G$17:$G$21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1818657"/>
        <c:axId val="39259050"/>
      </c:scatterChart>
      <c:val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crossBetween val="midCat"/>
        <c:dispUnits/>
      </c:valAx>
      <c:valAx>
        <c:axId val="3925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186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75"/>
          <c:w val="0.88275"/>
          <c:h val="0.7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anneal'!$A$25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anneal'!$B$28:$B$33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'200min anneal'!$G$28:$G$33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7787131"/>
        <c:axId val="25866452"/>
      </c:scatterChart>
      <c:val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crossBetween val="midCat"/>
        <c:dispUnits/>
      </c:valAx>
      <c:valAx>
        <c:axId val="258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6125"/>
          <c:w val="0.8915"/>
          <c:h val="0.7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anneal'!$A$39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anneal'!$B$42:$B$48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'200min anneal'!$G$42:$G$48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1471477"/>
        <c:axId val="14807838"/>
      </c:scatterChart>
      <c:val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07838"/>
        <c:crosses val="autoZero"/>
        <c:crossBetween val="midCat"/>
        <c:dispUnits/>
      </c:valAx>
      <c:valAx>
        <c:axId val="1480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71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675"/>
          <c:w val="0.898"/>
          <c:h val="0.80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anneal'!$A$56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anneal'!$B$59:$B$65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'200min anneal'!$G$59:$G$65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6161679"/>
        <c:axId val="58584200"/>
      </c:scatterChart>
      <c:val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84200"/>
        <c:crosses val="autoZero"/>
        <c:crossBetween val="midCat"/>
        <c:dispUnits/>
      </c:valAx>
      <c:valAx>
        <c:axId val="585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61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5675"/>
          <c:w val="0.88975"/>
          <c:h val="0.78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anneal'!$A$73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anneal'!$B$76:$B$83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'200min anneal'!$G$76:$G$83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7495753"/>
        <c:axId val="47699730"/>
      </c:scatterChart>
      <c:valAx>
        <c:axId val="574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99730"/>
        <c:crosses val="autoZero"/>
        <c:crossBetween val="midCat"/>
        <c:dispUnits/>
      </c:valAx>
      <c:valAx>
        <c:axId val="4769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957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5775"/>
          <c:w val="0.888"/>
          <c:h val="0.78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anneal'!$A$89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anneal'!$B$92:$B$99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'200min anneal'!$G$92:$G$99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6644387"/>
        <c:axId val="38472892"/>
      </c:scatterChart>
      <c:valAx>
        <c:axId val="2664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72892"/>
        <c:crosses val="autoZero"/>
        <c:crossBetween val="midCat"/>
        <c:dispUnits/>
      </c:valAx>
      <c:valAx>
        <c:axId val="38472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44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8"/>
          <c:w val="0.88775"/>
          <c:h val="0.7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'200min anneal'!$A$106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'200min anneal'!$B$110:$B$115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'200min anneal'!$G$110:$G$115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0711709"/>
        <c:axId val="29296518"/>
      </c:scatterChart>
      <c:valAx>
        <c:axId val="1071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6518"/>
        <c:crosses val="autoZero"/>
        <c:crossBetween val="midCat"/>
        <c:dispUnits/>
      </c:valAx>
      <c:valAx>
        <c:axId val="2929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117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5975"/>
          <c:w val="0.887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 min anneal'!$A$14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'400 min anneal'!$B$17:$B$21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'400 min anneal'!$G$17:$G$21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62342071"/>
        <c:axId val="24207728"/>
      </c:scatterChart>
      <c:valAx>
        <c:axId val="6234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7728"/>
        <c:crosses val="autoZero"/>
        <c:crossBetween val="midCat"/>
        <c:dispUnits/>
      </c:valAx>
      <c:valAx>
        <c:axId val="242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42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075"/>
          <c:w val="0.8885"/>
          <c:h val="0.7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 min anneal'!$A$25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'400 min anneal'!$B$28:$B$33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'400 min anneal'!$G$28:$G$33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6542961"/>
        <c:axId val="14668922"/>
      </c:scatterChart>
      <c:valAx>
        <c:axId val="165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68922"/>
        <c:crosses val="autoZero"/>
        <c:crossBetween val="midCat"/>
        <c:dispUnits/>
      </c:valAx>
      <c:valAx>
        <c:axId val="14668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29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'pre-anneal'!$B$37:$B$43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'pre-anneal'!$G$37:$G$43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6709039"/>
        <c:axId val="39054760"/>
      </c:scatterChart>
      <c:val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54760"/>
        <c:crosses val="autoZero"/>
        <c:crossBetween val="midCat"/>
        <c:dispUnits/>
      </c:valAx>
      <c:valAx>
        <c:axId val="3905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090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25"/>
          <c:w val="0.8935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 min anneal'!$A$39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'400 min anneal'!$B$42:$B$49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'400 min anneal'!$G$42:$G$49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4911435"/>
        <c:axId val="47332004"/>
      </c:scatterChart>
      <c:valAx>
        <c:axId val="6491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2004"/>
        <c:crosses val="autoZero"/>
        <c:crossBetween val="midCat"/>
        <c:dispUnits/>
      </c:valAx>
      <c:valAx>
        <c:axId val="4733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114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5775"/>
          <c:w val="0.894"/>
          <c:h val="0.7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 min anneal'!$A$54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'400 min anneal'!$B$57:$B$64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'400 min anneal'!$G$57:$G$64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3334853"/>
        <c:axId val="8687086"/>
      </c:scatterChart>
      <c:val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87086"/>
        <c:crosses val="autoZero"/>
        <c:crossBetween val="midCat"/>
        <c:dispUnits/>
      </c:valAx>
      <c:valAx>
        <c:axId val="868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348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5275"/>
          <c:w val="0.88925"/>
          <c:h val="0.7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 min anneal'!$A$72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'400 min anneal'!$B$75:$B$84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'400 min anneal'!$G$75:$G$84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1074911"/>
        <c:axId val="32565336"/>
      </c:scatterChart>
      <c:valAx>
        <c:axId val="11074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65336"/>
        <c:crosses val="autoZero"/>
        <c:crossBetween val="midCat"/>
        <c:dispUnits/>
      </c:valAx>
      <c:valAx>
        <c:axId val="32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4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5025"/>
          <c:w val="0.8965"/>
          <c:h val="0.8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 min anneal'!$A$90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'400 min anneal'!$B$93:$B$100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'400 min anneal'!$G$93:$G$100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4652569"/>
        <c:axId val="20546530"/>
      </c:scatterChart>
      <c:valAx>
        <c:axId val="2465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6530"/>
        <c:crosses val="autoZero"/>
        <c:crossBetween val="midCat"/>
        <c:dispUnits/>
      </c:valAx>
      <c:valAx>
        <c:axId val="20546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6175"/>
          <c:w val="0.8875"/>
          <c:h val="0.77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 min anneal'!$A$107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'400 min anneal'!$B$110:$B$117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'400 min anneal'!$G$110:$G$117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0701043"/>
        <c:axId val="53656204"/>
      </c:scatterChart>
      <c:valAx>
        <c:axId val="5070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56204"/>
        <c:crosses val="autoZero"/>
        <c:crossBetween val="midCat"/>
        <c:dispUnits/>
      </c:valAx>
      <c:valAx>
        <c:axId val="5365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010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'400 min anneal'!$C$2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'400 min anneal'!$A$3:$A$9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'400 min anneal'!$C$3:$C$9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3143789"/>
        <c:axId val="51185238"/>
      </c:scatterChart>
      <c:val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85238"/>
        <c:crosses val="autoZero"/>
        <c:crossBetween val="midCat"/>
        <c:dispUnits/>
      </c:valAx>
      <c:valAx>
        <c:axId val="51185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3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5675"/>
          <c:w val="0.888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'600min anneal'!$A$14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'600min anneal'!$B$17:$B$21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'600min anneal'!$G$17:$G$21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8013959"/>
        <c:axId val="52363584"/>
      </c:scatterChart>
      <c:valAx>
        <c:axId val="5801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3584"/>
        <c:crosses val="autoZero"/>
        <c:crossBetween val="midCat"/>
        <c:dispUnits/>
      </c:valAx>
      <c:valAx>
        <c:axId val="52363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8"/>
          <c:w val="0.8905"/>
          <c:h val="0.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'600min anneal'!$A$25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'600min anneal'!$B$28:$B$33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'600min anneal'!$G$28:$G$33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510209"/>
        <c:axId val="13591882"/>
      </c:scatterChart>
      <c:valAx>
        <c:axId val="151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1882"/>
        <c:crosses val="autoZero"/>
        <c:crossBetween val="midCat"/>
        <c:dispUnits/>
      </c:valAx>
      <c:valAx>
        <c:axId val="1359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02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175"/>
          <c:w val="0.88825"/>
          <c:h val="0.7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'600min anneal'!$A$39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'600min anneal'!$B$42:$B$48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'600min anneal'!$G$42:$G$48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5218075"/>
        <c:axId val="27200628"/>
      </c:scatterChart>
      <c:valAx>
        <c:axId val="5521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00628"/>
        <c:crosses val="autoZero"/>
        <c:crossBetween val="midCat"/>
        <c:dispUnits/>
      </c:valAx>
      <c:valAx>
        <c:axId val="27200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18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5925"/>
          <c:w val="0.89225"/>
          <c:h val="0.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'600min anneal'!$A$53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'600min anneal'!$B$56:$B$63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'600min anneal'!$G$56:$G$63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3479061"/>
        <c:axId val="55767230"/>
      </c:scatterChart>
      <c:valAx>
        <c:axId val="4347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67230"/>
        <c:crosses val="autoZero"/>
        <c:crossBetween val="midCat"/>
        <c:dispUnits/>
      </c:valAx>
      <c:valAx>
        <c:axId val="5576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79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80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'pre-anneal'!$B$67:$B$75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'pre-anneal'!$G$67:$G$75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5948521"/>
        <c:axId val="9318962"/>
      </c:scatterChart>
      <c:valAx>
        <c:axId val="1594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18962"/>
        <c:crosses val="autoZero"/>
        <c:crossBetween val="midCat"/>
        <c:dispUnits/>
      </c:valAx>
      <c:valAx>
        <c:axId val="931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485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52"/>
          <c:w val="0.8985"/>
          <c:h val="0.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'600min anneal'!$A$72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'600min anneal'!$B$75:$B$83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'600min anneal'!$G$75:$G$83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2143023"/>
        <c:axId val="20851752"/>
      </c:scatterChart>
      <c:valAx>
        <c:axId val="32143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1752"/>
        <c:crosses val="autoZero"/>
        <c:crossBetween val="midCat"/>
        <c:dispUnits/>
      </c:valAx>
      <c:valAx>
        <c:axId val="2085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5975"/>
          <c:w val="0.89025"/>
          <c:h val="0.80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'600min anneal'!$A$90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'600min anneal'!$B$93:$B$100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'600min anneal'!$G$93:$G$100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3448041"/>
        <c:axId val="11270322"/>
      </c:scatterChart>
      <c:valAx>
        <c:axId val="5344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70322"/>
        <c:crosses val="autoZero"/>
        <c:crossBetween val="midCat"/>
        <c:dispUnits/>
      </c:valAx>
      <c:valAx>
        <c:axId val="11270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585"/>
          <c:w val="0.8895"/>
          <c:h val="0.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'600min anneal'!$A$107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'600min anneal'!$B$110:$B$117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'600min anneal'!$G$110:$G$117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4324035"/>
        <c:axId val="40480860"/>
      </c:scatterChart>
      <c:valAx>
        <c:axId val="34324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0860"/>
        <c:crosses val="autoZero"/>
        <c:crossBetween val="midCat"/>
        <c:dispUnits/>
      </c:valAx>
      <c:valAx>
        <c:axId val="4048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685"/>
          <c:w val="0.89925"/>
          <c:h val="0.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'1000min anneal'!$A$14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'1000min anneal'!$B$17:$B$20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'1000min anneal'!$G$17:$G$20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8783421"/>
        <c:axId val="57724198"/>
      </c:scatterChart>
      <c:valAx>
        <c:axId val="2878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crossBetween val="midCat"/>
        <c:dispUnits/>
      </c:valAx>
      <c:valAx>
        <c:axId val="5772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585"/>
          <c:w val="0.896"/>
          <c:h val="0.77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'1000min anneal'!$A$25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'1000min anneal'!$B$28:$B$33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'1000min anneal'!$G$28:$G$33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49755735"/>
        <c:axId val="45148432"/>
      </c:scatterChart>
      <c:valAx>
        <c:axId val="49755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48432"/>
        <c:crosses val="autoZero"/>
        <c:crossBetween val="midCat"/>
        <c:dispUnits/>
      </c:valAx>
      <c:valAx>
        <c:axId val="4514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66"/>
          <c:w val="0.89275"/>
          <c:h val="0.8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'1000min anneal'!$A$39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'1000min anneal'!$B$42:$B$47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'1000min anneal'!$G$42:$G$47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3682705"/>
        <c:axId val="33144346"/>
      </c:scatterChart>
      <c:valAx>
        <c:axId val="3682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4346"/>
        <c:crosses val="autoZero"/>
        <c:crossBetween val="midCat"/>
        <c:dispUnits/>
      </c:valAx>
      <c:valAx>
        <c:axId val="3314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58"/>
          <c:w val="0.89525"/>
          <c:h val="0.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'1000min anneal'!$A$53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'1000min anneal'!$B$56:$B$63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'1000min anneal'!$G$56:$G$63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9863659"/>
        <c:axId val="337476"/>
      </c:scatterChart>
      <c:valAx>
        <c:axId val="2986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crossBetween val="midCat"/>
        <c:dispUnits/>
      </c:valAx>
      <c:valAx>
        <c:axId val="337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075"/>
          <c:w val="0.8935"/>
          <c:h val="0.79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'1000min anneal'!$A$71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'1000min anneal'!$B$74:$B$82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'1000min anneal'!$G$74:$G$82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037285"/>
        <c:axId val="27335566"/>
      </c:scatterChart>
      <c:valAx>
        <c:axId val="303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35566"/>
        <c:crosses val="autoZero"/>
        <c:crossBetween val="midCat"/>
        <c:dispUnits/>
      </c:valAx>
      <c:valAx>
        <c:axId val="27335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7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55"/>
          <c:w val="0.89225"/>
          <c:h val="0.82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'1000min anneal'!$A$89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'1000min anneal'!$B$92:$B$99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'1000min anneal'!$G$92:$G$99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4693503"/>
        <c:axId val="66697208"/>
      </c:scatterChart>
      <c:valAx>
        <c:axId val="4469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7208"/>
        <c:crosses val="autoZero"/>
        <c:crossBetween val="midCat"/>
        <c:dispUnits/>
      </c:valAx>
      <c:valAx>
        <c:axId val="66697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35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5975"/>
          <c:w val="0.8965"/>
          <c:h val="0.7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'1000min anneal'!$A$107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'1000min anneal'!$B$110:$B$117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'1000min anneal'!$G$110:$G$117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3403961"/>
        <c:axId val="33764738"/>
      </c:scatterChart>
      <c:valAx>
        <c:axId val="6340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4738"/>
        <c:crosses val="autoZero"/>
        <c:crossBetween val="midCat"/>
        <c:dispUnits/>
      </c:valAx>
      <c:valAx>
        <c:axId val="3376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39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'pre-anneal'!$B$95:$B$103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'pre-anneal'!$G$95:$G$103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6761795"/>
        <c:axId val="16638428"/>
      </c:scatterChart>
      <c:val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38428"/>
        <c:crosses val="autoZero"/>
        <c:crossBetween val="midCat"/>
        <c:dispUnits/>
      </c:valAx>
      <c:valAx>
        <c:axId val="1663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17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5575"/>
          <c:w val="0.892"/>
          <c:h val="0.7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'1000min anneal'!$A$123</c:f>
              <c:strCache>
                <c:ptCount val="1"/>
                <c:pt idx="0">
                  <c:v>Vrev =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'1000min anneal'!$B$127:$B$131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'1000min anneal'!$G$127:$G$131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5447187"/>
        <c:axId val="50589228"/>
      </c:scatterChart>
      <c:valAx>
        <c:axId val="3544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crossBetween val="midCat"/>
        <c:dispUnits/>
      </c:valAx>
      <c:valAx>
        <c:axId val="50589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3325"/>
          <c:w val="0.888"/>
          <c:h val="0.96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'1000min anneal'!$B$2</c:f>
              <c:strCache>
                <c:ptCount val="1"/>
                <c:pt idx="0">
                  <c:v>eff at 1fC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'1000min anneal'!$A$3:$A$9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'1000min anneal'!$B$3:$B$9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'1000min anneal'!$C$2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'1000min anneal'!$A$3:$A$10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'1000min anneal'!$C$3:$C$10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2649869"/>
        <c:axId val="4086774"/>
      </c:scatterChart>
      <c:valAx>
        <c:axId val="5264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774"/>
        <c:crosses val="autoZero"/>
        <c:crossBetween val="midCat"/>
        <c:dispUnits/>
      </c:valAx>
      <c:valAx>
        <c:axId val="4086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eff or medQ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49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25"/>
          <c:y val="0.0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175"/>
          <c:w val="0.90525"/>
          <c:h val="0.8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'40hours anneal'!$A$14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'40hours anneal'!$B$17:$B$20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'40hours anneal'!$G$17:$G$20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6780967"/>
        <c:axId val="62593248"/>
      </c:scatterChart>
      <c:valAx>
        <c:axId val="3678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3248"/>
        <c:crosses val="autoZero"/>
        <c:crossBetween val="midCat"/>
        <c:dispUnits/>
      </c:valAx>
      <c:valAx>
        <c:axId val="62593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0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'40hours anneal'!$A$53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'40hours anneal'!$B$56:$B$62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'40hours anneal'!$G$56:$G$62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6468321"/>
        <c:axId val="36888298"/>
      </c:scatterChart>
      <c:valAx>
        <c:axId val="2646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8298"/>
        <c:crosses val="autoZero"/>
        <c:crossBetween val="midCat"/>
        <c:dispUnits/>
      </c:valAx>
      <c:valAx>
        <c:axId val="3688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683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'83 hours anneal'!$A$25</c:f>
              <c:strCache>
                <c:ptCount val="1"/>
                <c:pt idx="0">
                  <c:v>Vrev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'83 hours anneal'!$B$28:$B$32</c:f>
              <c:numCache/>
            </c:numRef>
          </c:xVal>
          <c:yVal>
            <c:numRef>
              <c:f>'83 hours anneal'!$G$28:$G$32</c:f>
              <c:numCache/>
            </c:numRef>
          </c:yVal>
          <c:smooth val="1"/>
        </c:ser>
        <c:axId val="63559227"/>
        <c:axId val="35162132"/>
      </c:scatterChart>
      <c:valAx>
        <c:axId val="6355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2132"/>
        <c:crosses val="autoZero"/>
        <c:crossBetween val="midCat"/>
        <c:dispUnits/>
      </c:valAx>
      <c:valAx>
        <c:axId val="3516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92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775"/>
          <c:w val="0.897"/>
          <c:h val="0.76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'83 hours anneal'!$A$14</c:f>
              <c:strCache>
                <c:ptCount val="1"/>
                <c:pt idx="0">
                  <c:v>Vrev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'83 hours anneal'!$B$17:$B$20</c:f>
              <c:numCache/>
            </c:numRef>
          </c:xVal>
          <c:yVal>
            <c:numRef>
              <c:f>'83 hours anneal'!$G$17:$G$20</c:f>
              <c:numCache/>
            </c:numRef>
          </c:yVal>
          <c:smooth val="1"/>
        </c:ser>
        <c:axId val="48023733"/>
        <c:axId val="29560414"/>
      </c:scatterChart>
      <c:valAx>
        <c:axId val="4802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crossBetween val="midCat"/>
        <c:dispUnits/>
      </c:valAx>
      <c:valAx>
        <c:axId val="29560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237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605"/>
          <c:w val="0.8987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'83 hours anneal'!$A$39</c:f>
              <c:strCache>
                <c:ptCount val="1"/>
                <c:pt idx="0">
                  <c:v>Vrev =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'83 hours anneal'!$B$42:$B$47</c:f>
              <c:numCache/>
            </c:numRef>
          </c:xVal>
          <c:yVal>
            <c:numRef>
              <c:f>'83 hours anneal'!$G$42:$G$47</c:f>
              <c:numCache/>
            </c:numRef>
          </c:yVal>
          <c:smooth val="1"/>
        </c:ser>
        <c:axId val="64717135"/>
        <c:axId val="45583304"/>
      </c:scatterChart>
      <c:valAx>
        <c:axId val="6471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83304"/>
        <c:crosses val="autoZero"/>
        <c:crossBetween val="midCat"/>
        <c:dispUnits/>
      </c:valAx>
      <c:valAx>
        <c:axId val="45583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17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615"/>
          <c:w val="0.899"/>
          <c:h val="0.7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'83 hours anneal'!$A$53</c:f>
              <c:strCache>
                <c:ptCount val="1"/>
                <c:pt idx="0">
                  <c:v>Vrev =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'83 hours anneal'!$B$56:$B$62</c:f>
              <c:numCache/>
            </c:numRef>
          </c:xVal>
          <c:yVal>
            <c:numRef>
              <c:f>'83 hours anneal'!$G$56:$G$62</c:f>
              <c:numCache/>
            </c:numRef>
          </c:yVal>
          <c:smooth val="1"/>
        </c:ser>
        <c:axId val="7596553"/>
        <c:axId val="1260114"/>
      </c:scatterChart>
      <c:val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crossBetween val="midCat"/>
        <c:dispUnits/>
      </c:valAx>
      <c:valAx>
        <c:axId val="126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96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'83 hours anneal'!$A$71</c:f>
              <c:strCache>
                <c:ptCount val="1"/>
                <c:pt idx="0">
                  <c:v>Vrev = 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'83 hours anneal'!$B$74:$B$82</c:f>
              <c:numCache/>
            </c:numRef>
          </c:xVal>
          <c:yVal>
            <c:numRef>
              <c:f>'83 hours anneal'!$G$74:$G$82</c:f>
              <c:numCache/>
            </c:numRef>
          </c:yVal>
          <c:smooth val="1"/>
        </c:ser>
        <c:axId val="11341027"/>
        <c:axId val="34960380"/>
      </c:scatterChart>
      <c:valAx>
        <c:axId val="1134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60380"/>
        <c:crosses val="autoZero"/>
        <c:crossBetween val="midCat"/>
        <c:dispUnits/>
      </c:valAx>
      <c:valAx>
        <c:axId val="34960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10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235"/>
          <c:w val="0.90325"/>
          <c:h val="0.79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'83 hours anneal'!$A$89</c:f>
              <c:strCache>
                <c:ptCount val="1"/>
                <c:pt idx="0">
                  <c:v>Vrev =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'83 hours anneal'!$B$92:$B$99</c:f>
              <c:numCache/>
            </c:numRef>
          </c:xVal>
          <c:yVal>
            <c:numRef>
              <c:f>'83 hours anneal'!$G$92:$G$99</c:f>
              <c:numCache/>
            </c:numRef>
          </c:yVal>
          <c:smooth val="1"/>
        </c:ser>
        <c:axId val="46207965"/>
        <c:axId val="13218502"/>
      </c:scatterChart>
      <c:valAx>
        <c:axId val="46207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18502"/>
        <c:crosses val="autoZero"/>
        <c:crossBetween val="midCat"/>
        <c:dispUnits/>
      </c:valAx>
      <c:valAx>
        <c:axId val="13218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079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vrev 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'pre-anneal'!$B$113:$B$122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'pre-anneal'!$G$113:$G$122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5528125"/>
        <c:axId val="5535398"/>
      </c:scatterChart>
      <c:val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crossBetween val="midCat"/>
        <c:dispUnits/>
      </c:val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8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29"/>
          <c:w val="0.90675"/>
          <c:h val="0.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'83 hours anneal'!$A$107</c:f>
              <c:strCache>
                <c:ptCount val="1"/>
                <c:pt idx="0">
                  <c:v>Vrev = 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'83 hours anneal'!$B$110:$B$116</c:f>
              <c:numCache/>
            </c:numRef>
          </c:xVal>
          <c:yVal>
            <c:numRef>
              <c:f>'83 hours anneal'!$G$110:$G$116</c:f>
              <c:numCache/>
            </c:numRef>
          </c:yVal>
          <c:smooth val="1"/>
        </c:ser>
        <c:axId val="51857655"/>
        <c:axId val="64065712"/>
      </c:scatterChart>
      <c:valAx>
        <c:axId val="5185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5712"/>
        <c:crosses val="autoZero"/>
        <c:crossBetween val="midCat"/>
        <c:dispUnits/>
      </c:valAx>
      <c:valAx>
        <c:axId val="64065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76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Relationship Id="rId6" Type="http://schemas.openxmlformats.org/officeDocument/2006/relationships/chart" Target="/xl/charts/chart55.xml" /><Relationship Id="rId7" Type="http://schemas.openxmlformats.org/officeDocument/2006/relationships/chart" Target="/xl/charts/chart56.xml" /><Relationship Id="rId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3</xdr:row>
      <xdr:rowOff>19050</xdr:rowOff>
    </xdr:from>
    <xdr:to>
      <xdr:col>16</xdr:col>
      <xdr:colOff>190500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6677025" y="504825"/>
        <a:ext cx="32670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590550</xdr:colOff>
      <xdr:row>2</xdr:row>
      <xdr:rowOff>114300</xdr:rowOff>
    </xdr:from>
    <xdr:to>
      <xdr:col>19</xdr:col>
      <xdr:colOff>257175</xdr:colOff>
      <xdr:row>21</xdr:row>
      <xdr:rowOff>123825</xdr:rowOff>
    </xdr:to>
    <xdr:graphicFrame>
      <xdr:nvGraphicFramePr>
        <xdr:cNvPr id="2" name="Chart 2"/>
        <xdr:cNvGraphicFramePr/>
      </xdr:nvGraphicFramePr>
      <xdr:xfrm>
        <a:off x="7296150" y="438150"/>
        <a:ext cx="45434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400050</xdr:colOff>
      <xdr:row>39</xdr:row>
      <xdr:rowOff>9525</xdr:rowOff>
    </xdr:to>
    <xdr:graphicFrame>
      <xdr:nvGraphicFramePr>
        <xdr:cNvPr id="3" name="Chart 3"/>
        <xdr:cNvGraphicFramePr/>
      </xdr:nvGraphicFramePr>
      <xdr:xfrm>
        <a:off x="6096000" y="3400425"/>
        <a:ext cx="46672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9</xdr:row>
      <xdr:rowOff>38100</xdr:rowOff>
    </xdr:from>
    <xdr:to>
      <xdr:col>12</xdr:col>
      <xdr:colOff>304800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533900" y="1495425"/>
        <a:ext cx="31432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22</xdr:row>
      <xdr:rowOff>57150</xdr:rowOff>
    </xdr:from>
    <xdr:to>
      <xdr:col>12</xdr:col>
      <xdr:colOff>257175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4457700" y="3619500"/>
        <a:ext cx="31718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36</xdr:row>
      <xdr:rowOff>76200</xdr:rowOff>
    </xdr:from>
    <xdr:to>
      <xdr:col>12</xdr:col>
      <xdr:colOff>352425</xdr:colOff>
      <xdr:row>49</xdr:row>
      <xdr:rowOff>104775</xdr:rowOff>
    </xdr:to>
    <xdr:graphicFrame>
      <xdr:nvGraphicFramePr>
        <xdr:cNvPr id="3" name="Chart 3"/>
        <xdr:cNvGraphicFramePr/>
      </xdr:nvGraphicFramePr>
      <xdr:xfrm>
        <a:off x="4400550" y="5905500"/>
        <a:ext cx="33242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104775</xdr:colOff>
      <xdr:row>50</xdr:row>
      <xdr:rowOff>19050</xdr:rowOff>
    </xdr:from>
    <xdr:to>
      <xdr:col>12</xdr:col>
      <xdr:colOff>400050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4429125" y="8115300"/>
        <a:ext cx="33432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69</xdr:row>
      <xdr:rowOff>142875</xdr:rowOff>
    </xdr:from>
    <xdr:to>
      <xdr:col>12</xdr:col>
      <xdr:colOff>390525</xdr:colOff>
      <xdr:row>84</xdr:row>
      <xdr:rowOff>28575</xdr:rowOff>
    </xdr:to>
    <xdr:graphicFrame>
      <xdr:nvGraphicFramePr>
        <xdr:cNvPr id="5" name="Chart 5"/>
        <xdr:cNvGraphicFramePr/>
      </xdr:nvGraphicFramePr>
      <xdr:xfrm>
        <a:off x="4572000" y="11315700"/>
        <a:ext cx="319087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133350</xdr:colOff>
      <xdr:row>87</xdr:row>
      <xdr:rowOff>95250</xdr:rowOff>
    </xdr:from>
    <xdr:to>
      <xdr:col>12</xdr:col>
      <xdr:colOff>495300</xdr:colOff>
      <xdr:row>102</xdr:row>
      <xdr:rowOff>19050</xdr:rowOff>
    </xdr:to>
    <xdr:graphicFrame>
      <xdr:nvGraphicFramePr>
        <xdr:cNvPr id="6" name="Chart 6"/>
        <xdr:cNvGraphicFramePr/>
      </xdr:nvGraphicFramePr>
      <xdr:xfrm>
        <a:off x="4457700" y="14182725"/>
        <a:ext cx="340995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266700</xdr:colOff>
      <xdr:row>104</xdr:row>
      <xdr:rowOff>85725</xdr:rowOff>
    </xdr:from>
    <xdr:to>
      <xdr:col>12</xdr:col>
      <xdr:colOff>361950</xdr:colOff>
      <xdr:row>117</xdr:row>
      <xdr:rowOff>114300</xdr:rowOff>
    </xdr:to>
    <xdr:graphicFrame>
      <xdr:nvGraphicFramePr>
        <xdr:cNvPr id="7" name="Chart 7"/>
        <xdr:cNvGraphicFramePr/>
      </xdr:nvGraphicFramePr>
      <xdr:xfrm>
        <a:off x="4591050" y="16925925"/>
        <a:ext cx="31432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152400</xdr:colOff>
      <xdr:row>2</xdr:row>
      <xdr:rowOff>47625</xdr:rowOff>
    </xdr:from>
    <xdr:to>
      <xdr:col>11</xdr:col>
      <xdr:colOff>66675</xdr:colOff>
      <xdr:row>17</xdr:row>
      <xdr:rowOff>152400</xdr:rowOff>
    </xdr:to>
    <xdr:graphicFrame>
      <xdr:nvGraphicFramePr>
        <xdr:cNvPr id="8" name="Chart 8"/>
        <xdr:cNvGraphicFramePr/>
      </xdr:nvGraphicFramePr>
      <xdr:xfrm>
        <a:off x="2647950" y="371475"/>
        <a:ext cx="4181475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10</xdr:row>
      <xdr:rowOff>28575</xdr:rowOff>
    </xdr:from>
    <xdr:to>
      <xdr:col>12</xdr:col>
      <xdr:colOff>304800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552950" y="1647825"/>
        <a:ext cx="3162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21</xdr:row>
      <xdr:rowOff>152400</xdr:rowOff>
    </xdr:from>
    <xdr:to>
      <xdr:col>12</xdr:col>
      <xdr:colOff>342900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4524375" y="3552825"/>
        <a:ext cx="32289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35</xdr:row>
      <xdr:rowOff>152400</xdr:rowOff>
    </xdr:from>
    <xdr:to>
      <xdr:col>12</xdr:col>
      <xdr:colOff>295275</xdr:colOff>
      <xdr:row>49</xdr:row>
      <xdr:rowOff>28575</xdr:rowOff>
    </xdr:to>
    <xdr:graphicFrame>
      <xdr:nvGraphicFramePr>
        <xdr:cNvPr id="3" name="Chart 3"/>
        <xdr:cNvGraphicFramePr/>
      </xdr:nvGraphicFramePr>
      <xdr:xfrm>
        <a:off x="4533900" y="5819775"/>
        <a:ext cx="31718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50</xdr:row>
      <xdr:rowOff>19050</xdr:rowOff>
    </xdr:from>
    <xdr:to>
      <xdr:col>12</xdr:col>
      <xdr:colOff>409575</xdr:colOff>
      <xdr:row>63</xdr:row>
      <xdr:rowOff>133350</xdr:rowOff>
    </xdr:to>
    <xdr:graphicFrame>
      <xdr:nvGraphicFramePr>
        <xdr:cNvPr id="4" name="Chart 4"/>
        <xdr:cNvGraphicFramePr/>
      </xdr:nvGraphicFramePr>
      <xdr:xfrm>
        <a:off x="4533900" y="8115300"/>
        <a:ext cx="328612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68</xdr:row>
      <xdr:rowOff>123825</xdr:rowOff>
    </xdr:from>
    <xdr:to>
      <xdr:col>12</xdr:col>
      <xdr:colOff>581025</xdr:colOff>
      <xdr:row>83</xdr:row>
      <xdr:rowOff>66675</xdr:rowOff>
    </xdr:to>
    <xdr:graphicFrame>
      <xdr:nvGraphicFramePr>
        <xdr:cNvPr id="5" name="Chart 5"/>
        <xdr:cNvGraphicFramePr/>
      </xdr:nvGraphicFramePr>
      <xdr:xfrm>
        <a:off x="4438650" y="11134725"/>
        <a:ext cx="355282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295275</xdr:colOff>
      <xdr:row>86</xdr:row>
      <xdr:rowOff>114300</xdr:rowOff>
    </xdr:from>
    <xdr:to>
      <xdr:col>12</xdr:col>
      <xdr:colOff>476250</xdr:colOff>
      <xdr:row>100</xdr:row>
      <xdr:rowOff>66675</xdr:rowOff>
    </xdr:to>
    <xdr:graphicFrame>
      <xdr:nvGraphicFramePr>
        <xdr:cNvPr id="6" name="Chart 6"/>
        <xdr:cNvGraphicFramePr/>
      </xdr:nvGraphicFramePr>
      <xdr:xfrm>
        <a:off x="4657725" y="14039850"/>
        <a:ext cx="322897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266700</xdr:colOff>
      <xdr:row>103</xdr:row>
      <xdr:rowOff>114300</xdr:rowOff>
    </xdr:from>
    <xdr:to>
      <xdr:col>12</xdr:col>
      <xdr:colOff>419100</xdr:colOff>
      <xdr:row>117</xdr:row>
      <xdr:rowOff>85725</xdr:rowOff>
    </xdr:to>
    <xdr:graphicFrame>
      <xdr:nvGraphicFramePr>
        <xdr:cNvPr id="7" name="Chart 7"/>
        <xdr:cNvGraphicFramePr/>
      </xdr:nvGraphicFramePr>
      <xdr:xfrm>
        <a:off x="4629150" y="16792575"/>
        <a:ext cx="320040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10</xdr:row>
      <xdr:rowOff>66675</xdr:rowOff>
    </xdr:from>
    <xdr:to>
      <xdr:col>12</xdr:col>
      <xdr:colOff>571500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400550" y="1685925"/>
        <a:ext cx="35814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23</xdr:row>
      <xdr:rowOff>0</xdr:rowOff>
    </xdr:from>
    <xdr:to>
      <xdr:col>12</xdr:col>
      <xdr:colOff>409575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4419600" y="3724275"/>
        <a:ext cx="3400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36</xdr:row>
      <xdr:rowOff>114300</xdr:rowOff>
    </xdr:from>
    <xdr:to>
      <xdr:col>12</xdr:col>
      <xdr:colOff>438150</xdr:colOff>
      <xdr:row>49</xdr:row>
      <xdr:rowOff>95250</xdr:rowOff>
    </xdr:to>
    <xdr:graphicFrame>
      <xdr:nvGraphicFramePr>
        <xdr:cNvPr id="3" name="Chart 3"/>
        <xdr:cNvGraphicFramePr/>
      </xdr:nvGraphicFramePr>
      <xdr:xfrm>
        <a:off x="4543425" y="5943600"/>
        <a:ext cx="33051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190500</xdr:colOff>
      <xdr:row>51</xdr:row>
      <xdr:rowOff>47625</xdr:rowOff>
    </xdr:from>
    <xdr:to>
      <xdr:col>12</xdr:col>
      <xdr:colOff>514350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4552950" y="8305800"/>
        <a:ext cx="337185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69</xdr:row>
      <xdr:rowOff>19050</xdr:rowOff>
    </xdr:from>
    <xdr:to>
      <xdr:col>12</xdr:col>
      <xdr:colOff>523875</xdr:colOff>
      <xdr:row>82</xdr:row>
      <xdr:rowOff>76200</xdr:rowOff>
    </xdr:to>
    <xdr:graphicFrame>
      <xdr:nvGraphicFramePr>
        <xdr:cNvPr id="5" name="Chart 5"/>
        <xdr:cNvGraphicFramePr/>
      </xdr:nvGraphicFramePr>
      <xdr:xfrm>
        <a:off x="4610100" y="11191875"/>
        <a:ext cx="33242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323850</xdr:colOff>
      <xdr:row>87</xdr:row>
      <xdr:rowOff>28575</xdr:rowOff>
    </xdr:from>
    <xdr:to>
      <xdr:col>12</xdr:col>
      <xdr:colOff>561975</xdr:colOff>
      <xdr:row>101</xdr:row>
      <xdr:rowOff>47625</xdr:rowOff>
    </xdr:to>
    <xdr:graphicFrame>
      <xdr:nvGraphicFramePr>
        <xdr:cNvPr id="6" name="Chart 6"/>
        <xdr:cNvGraphicFramePr/>
      </xdr:nvGraphicFramePr>
      <xdr:xfrm>
        <a:off x="4686300" y="14116050"/>
        <a:ext cx="328612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171450</xdr:colOff>
      <xdr:row>103</xdr:row>
      <xdr:rowOff>142875</xdr:rowOff>
    </xdr:from>
    <xdr:to>
      <xdr:col>12</xdr:col>
      <xdr:colOff>542925</xdr:colOff>
      <xdr:row>117</xdr:row>
      <xdr:rowOff>95250</xdr:rowOff>
    </xdr:to>
    <xdr:graphicFrame>
      <xdr:nvGraphicFramePr>
        <xdr:cNvPr id="7" name="Chart 7"/>
        <xdr:cNvGraphicFramePr/>
      </xdr:nvGraphicFramePr>
      <xdr:xfrm>
        <a:off x="4533900" y="16821150"/>
        <a:ext cx="34194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119</xdr:row>
      <xdr:rowOff>0</xdr:rowOff>
    </xdr:from>
    <xdr:to>
      <xdr:col>12</xdr:col>
      <xdr:colOff>428625</xdr:colOff>
      <xdr:row>133</xdr:row>
      <xdr:rowOff>0</xdr:rowOff>
    </xdr:to>
    <xdr:graphicFrame>
      <xdr:nvGraphicFramePr>
        <xdr:cNvPr id="8" name="Chart 8"/>
        <xdr:cNvGraphicFramePr/>
      </xdr:nvGraphicFramePr>
      <xdr:xfrm>
        <a:off x="4562475" y="19269075"/>
        <a:ext cx="32766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209550</xdr:colOff>
      <xdr:row>0</xdr:row>
      <xdr:rowOff>38100</xdr:rowOff>
    </xdr:from>
    <xdr:to>
      <xdr:col>11</xdr:col>
      <xdr:colOff>104775</xdr:colOff>
      <xdr:row>15</xdr:row>
      <xdr:rowOff>142875</xdr:rowOff>
    </xdr:to>
    <xdr:graphicFrame>
      <xdr:nvGraphicFramePr>
        <xdr:cNvPr id="9" name="Chart 9"/>
        <xdr:cNvGraphicFramePr/>
      </xdr:nvGraphicFramePr>
      <xdr:xfrm>
        <a:off x="2733675" y="38100"/>
        <a:ext cx="4171950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9</xdr:row>
      <xdr:rowOff>95250</xdr:rowOff>
    </xdr:from>
    <xdr:to>
      <xdr:col>12</xdr:col>
      <xdr:colOff>514350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495800" y="1552575"/>
        <a:ext cx="34004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51</xdr:row>
      <xdr:rowOff>114300</xdr:rowOff>
    </xdr:from>
    <xdr:to>
      <xdr:col>13</xdr:col>
      <xdr:colOff>552450</xdr:colOff>
      <xdr:row>67</xdr:row>
      <xdr:rowOff>66675</xdr:rowOff>
    </xdr:to>
    <xdr:graphicFrame>
      <xdr:nvGraphicFramePr>
        <xdr:cNvPr id="2" name="Chart 2"/>
        <xdr:cNvGraphicFramePr/>
      </xdr:nvGraphicFramePr>
      <xdr:xfrm>
        <a:off x="4352925" y="8372475"/>
        <a:ext cx="4191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22</xdr:row>
      <xdr:rowOff>9525</xdr:rowOff>
    </xdr:from>
    <xdr:to>
      <xdr:col>12</xdr:col>
      <xdr:colOff>504825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4467225" y="3571875"/>
        <a:ext cx="34766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12</xdr:row>
      <xdr:rowOff>47625</xdr:rowOff>
    </xdr:from>
    <xdr:to>
      <xdr:col>12</xdr:col>
      <xdr:colOff>352425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4286250" y="1990725"/>
        <a:ext cx="35052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247650</xdr:colOff>
      <xdr:row>34</xdr:row>
      <xdr:rowOff>123825</xdr:rowOff>
    </xdr:from>
    <xdr:to>
      <xdr:col>13</xdr:col>
      <xdr:colOff>152400</xdr:colOff>
      <xdr:row>48</xdr:row>
      <xdr:rowOff>114300</xdr:rowOff>
    </xdr:to>
    <xdr:graphicFrame>
      <xdr:nvGraphicFramePr>
        <xdr:cNvPr id="3" name="Chart 3"/>
        <xdr:cNvGraphicFramePr/>
      </xdr:nvGraphicFramePr>
      <xdr:xfrm>
        <a:off x="4638675" y="5629275"/>
        <a:ext cx="35623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49</xdr:row>
      <xdr:rowOff>95250</xdr:rowOff>
    </xdr:from>
    <xdr:to>
      <xdr:col>13</xdr:col>
      <xdr:colOff>85725</xdr:colOff>
      <xdr:row>63</xdr:row>
      <xdr:rowOff>66675</xdr:rowOff>
    </xdr:to>
    <xdr:graphicFrame>
      <xdr:nvGraphicFramePr>
        <xdr:cNvPr id="4" name="Chart 4"/>
        <xdr:cNvGraphicFramePr/>
      </xdr:nvGraphicFramePr>
      <xdr:xfrm>
        <a:off x="4562475" y="8029575"/>
        <a:ext cx="35718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142875</xdr:colOff>
      <xdr:row>69</xdr:row>
      <xdr:rowOff>123825</xdr:rowOff>
    </xdr:from>
    <xdr:to>
      <xdr:col>14</xdr:col>
      <xdr:colOff>66675</xdr:colOff>
      <xdr:row>85</xdr:row>
      <xdr:rowOff>76200</xdr:rowOff>
    </xdr:to>
    <xdr:graphicFrame>
      <xdr:nvGraphicFramePr>
        <xdr:cNvPr id="5" name="Chart 5"/>
        <xdr:cNvGraphicFramePr/>
      </xdr:nvGraphicFramePr>
      <xdr:xfrm>
        <a:off x="4533900" y="11296650"/>
        <a:ext cx="41910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600075</xdr:colOff>
      <xdr:row>88</xdr:row>
      <xdr:rowOff>19050</xdr:rowOff>
    </xdr:from>
    <xdr:to>
      <xdr:col>13</xdr:col>
      <xdr:colOff>514350</xdr:colOff>
      <xdr:row>103</xdr:row>
      <xdr:rowOff>123825</xdr:rowOff>
    </xdr:to>
    <xdr:graphicFrame>
      <xdr:nvGraphicFramePr>
        <xdr:cNvPr id="6" name="Chart 6"/>
        <xdr:cNvGraphicFramePr/>
      </xdr:nvGraphicFramePr>
      <xdr:xfrm>
        <a:off x="4371975" y="14268450"/>
        <a:ext cx="4191000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209550</xdr:colOff>
      <xdr:row>105</xdr:row>
      <xdr:rowOff>123825</xdr:rowOff>
    </xdr:from>
    <xdr:to>
      <xdr:col>13</xdr:col>
      <xdr:colOff>161925</xdr:colOff>
      <xdr:row>119</xdr:row>
      <xdr:rowOff>9525</xdr:rowOff>
    </xdr:to>
    <xdr:graphicFrame>
      <xdr:nvGraphicFramePr>
        <xdr:cNvPr id="7" name="Chart 7"/>
        <xdr:cNvGraphicFramePr/>
      </xdr:nvGraphicFramePr>
      <xdr:xfrm>
        <a:off x="4600575" y="17125950"/>
        <a:ext cx="3609975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</xdr:row>
      <xdr:rowOff>142875</xdr:rowOff>
    </xdr:from>
    <xdr:to>
      <xdr:col>9</xdr:col>
      <xdr:colOff>590550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2047875" y="1276350"/>
        <a:ext cx="4191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8</xdr:row>
      <xdr:rowOff>152400</xdr:rowOff>
    </xdr:from>
    <xdr:to>
      <xdr:col>12</xdr:col>
      <xdr:colOff>152400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448175" y="1466850"/>
        <a:ext cx="3086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31</xdr:row>
      <xdr:rowOff>142875</xdr:rowOff>
    </xdr:from>
    <xdr:to>
      <xdr:col>12</xdr:col>
      <xdr:colOff>333375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4495800" y="5181600"/>
        <a:ext cx="32194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60</xdr:row>
      <xdr:rowOff>114300</xdr:rowOff>
    </xdr:from>
    <xdr:to>
      <xdr:col>12</xdr:col>
      <xdr:colOff>361950</xdr:colOff>
      <xdr:row>75</xdr:row>
      <xdr:rowOff>95250</xdr:rowOff>
    </xdr:to>
    <xdr:graphicFrame>
      <xdr:nvGraphicFramePr>
        <xdr:cNvPr id="3" name="Chart 3"/>
        <xdr:cNvGraphicFramePr/>
      </xdr:nvGraphicFramePr>
      <xdr:xfrm>
        <a:off x="4524375" y="9848850"/>
        <a:ext cx="321945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390525</xdr:colOff>
      <xdr:row>89</xdr:row>
      <xdr:rowOff>152400</xdr:rowOff>
    </xdr:from>
    <xdr:to>
      <xdr:col>13</xdr:col>
      <xdr:colOff>219075</xdr:colOff>
      <xdr:row>104</xdr:row>
      <xdr:rowOff>114300</xdr:rowOff>
    </xdr:to>
    <xdr:graphicFrame>
      <xdr:nvGraphicFramePr>
        <xdr:cNvPr id="4" name="Chart 4"/>
        <xdr:cNvGraphicFramePr/>
      </xdr:nvGraphicFramePr>
      <xdr:xfrm>
        <a:off x="4724400" y="14582775"/>
        <a:ext cx="34861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361950</xdr:colOff>
      <xdr:row>108</xdr:row>
      <xdr:rowOff>9525</xdr:rowOff>
    </xdr:from>
    <xdr:to>
      <xdr:col>13</xdr:col>
      <xdr:colOff>295275</xdr:colOff>
      <xdr:row>122</xdr:row>
      <xdr:rowOff>66675</xdr:rowOff>
    </xdr:to>
    <xdr:graphicFrame>
      <xdr:nvGraphicFramePr>
        <xdr:cNvPr id="5" name="Chart 5"/>
        <xdr:cNvGraphicFramePr/>
      </xdr:nvGraphicFramePr>
      <xdr:xfrm>
        <a:off x="4695825" y="17516475"/>
        <a:ext cx="35909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581025</xdr:colOff>
      <xdr:row>127</xdr:row>
      <xdr:rowOff>38100</xdr:rowOff>
    </xdr:from>
    <xdr:to>
      <xdr:col>13</xdr:col>
      <xdr:colOff>523875</xdr:colOff>
      <xdr:row>141</xdr:row>
      <xdr:rowOff>133350</xdr:rowOff>
    </xdr:to>
    <xdr:graphicFrame>
      <xdr:nvGraphicFramePr>
        <xdr:cNvPr id="6" name="Chart 6"/>
        <xdr:cNvGraphicFramePr/>
      </xdr:nvGraphicFramePr>
      <xdr:xfrm>
        <a:off x="4914900" y="20621625"/>
        <a:ext cx="36004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133350</xdr:colOff>
      <xdr:row>146</xdr:row>
      <xdr:rowOff>9525</xdr:rowOff>
    </xdr:from>
    <xdr:to>
      <xdr:col>13</xdr:col>
      <xdr:colOff>104775</xdr:colOff>
      <xdr:row>160</xdr:row>
      <xdr:rowOff>142875</xdr:rowOff>
    </xdr:to>
    <xdr:graphicFrame>
      <xdr:nvGraphicFramePr>
        <xdr:cNvPr id="7" name="Chart 7"/>
        <xdr:cNvGraphicFramePr/>
      </xdr:nvGraphicFramePr>
      <xdr:xfrm>
        <a:off x="4467225" y="23669625"/>
        <a:ext cx="3629025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247650</xdr:colOff>
      <xdr:row>162</xdr:row>
      <xdr:rowOff>114300</xdr:rowOff>
    </xdr:from>
    <xdr:to>
      <xdr:col>13</xdr:col>
      <xdr:colOff>361950</xdr:colOff>
      <xdr:row>177</xdr:row>
      <xdr:rowOff>133350</xdr:rowOff>
    </xdr:to>
    <xdr:graphicFrame>
      <xdr:nvGraphicFramePr>
        <xdr:cNvPr id="8" name="Chart 8"/>
        <xdr:cNvGraphicFramePr/>
      </xdr:nvGraphicFramePr>
      <xdr:xfrm>
        <a:off x="4581525" y="26365200"/>
        <a:ext cx="3771900" cy="244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381000</xdr:colOff>
      <xdr:row>179</xdr:row>
      <xdr:rowOff>114300</xdr:rowOff>
    </xdr:from>
    <xdr:to>
      <xdr:col>13</xdr:col>
      <xdr:colOff>133350</xdr:colOff>
      <xdr:row>196</xdr:row>
      <xdr:rowOff>0</xdr:rowOff>
    </xdr:to>
    <xdr:graphicFrame>
      <xdr:nvGraphicFramePr>
        <xdr:cNvPr id="9" name="Chart 9"/>
        <xdr:cNvGraphicFramePr/>
      </xdr:nvGraphicFramePr>
      <xdr:xfrm>
        <a:off x="4714875" y="29117925"/>
        <a:ext cx="3409950" cy="2638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495300</xdr:colOff>
      <xdr:row>196</xdr:row>
      <xdr:rowOff>104775</xdr:rowOff>
    </xdr:from>
    <xdr:to>
      <xdr:col>13</xdr:col>
      <xdr:colOff>257175</xdr:colOff>
      <xdr:row>212</xdr:row>
      <xdr:rowOff>114300</xdr:rowOff>
    </xdr:to>
    <xdr:graphicFrame>
      <xdr:nvGraphicFramePr>
        <xdr:cNvPr id="10" name="Chart 10"/>
        <xdr:cNvGraphicFramePr/>
      </xdr:nvGraphicFramePr>
      <xdr:xfrm>
        <a:off x="4829175" y="31861125"/>
        <a:ext cx="3419475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152400</xdr:colOff>
      <xdr:row>0</xdr:row>
      <xdr:rowOff>76200</xdr:rowOff>
    </xdr:from>
    <xdr:to>
      <xdr:col>14</xdr:col>
      <xdr:colOff>400050</xdr:colOff>
      <xdr:row>15</xdr:row>
      <xdr:rowOff>85725</xdr:rowOff>
    </xdr:to>
    <xdr:graphicFrame>
      <xdr:nvGraphicFramePr>
        <xdr:cNvPr id="11" name="Chart 11"/>
        <xdr:cNvGraphicFramePr/>
      </xdr:nvGraphicFramePr>
      <xdr:xfrm>
        <a:off x="5095875" y="76200"/>
        <a:ext cx="3905250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</cdr:y>
    </cdr:from>
    <cdr:to>
      <cdr:x>0.60075</cdr:x>
      <cdr:y>0.12525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Vrev = 40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148</xdr:row>
      <xdr:rowOff>152400</xdr:rowOff>
    </xdr:from>
    <xdr:to>
      <xdr:col>10</xdr:col>
      <xdr:colOff>0</xdr:colOff>
      <xdr:row>164</xdr:row>
      <xdr:rowOff>104775</xdr:rowOff>
    </xdr:to>
    <xdr:graphicFrame>
      <xdr:nvGraphicFramePr>
        <xdr:cNvPr id="1" name="Chart 2"/>
        <xdr:cNvGraphicFramePr/>
      </xdr:nvGraphicFramePr>
      <xdr:xfrm>
        <a:off x="2324100" y="24117300"/>
        <a:ext cx="38385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8</xdr:col>
      <xdr:colOff>57150</xdr:colOff>
      <xdr:row>10</xdr:row>
      <xdr:rowOff>19050</xdr:rowOff>
    </xdr:to>
    <xdr:graphicFrame>
      <xdr:nvGraphicFramePr>
        <xdr:cNvPr id="2" name="Chart 3"/>
        <xdr:cNvGraphicFramePr/>
      </xdr:nvGraphicFramePr>
      <xdr:xfrm>
        <a:off x="1343025" y="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10</xdr:row>
      <xdr:rowOff>47625</xdr:rowOff>
    </xdr:from>
    <xdr:to>
      <xdr:col>13</xdr:col>
      <xdr:colOff>209550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4848225" y="1666875"/>
        <a:ext cx="33528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314325</xdr:colOff>
      <xdr:row>20</xdr:row>
      <xdr:rowOff>85725</xdr:rowOff>
    </xdr:from>
    <xdr:to>
      <xdr:col>13</xdr:col>
      <xdr:colOff>19050</xdr:colOff>
      <xdr:row>34</xdr:row>
      <xdr:rowOff>76200</xdr:rowOff>
    </xdr:to>
    <xdr:graphicFrame>
      <xdr:nvGraphicFramePr>
        <xdr:cNvPr id="4" name="Chart 5"/>
        <xdr:cNvGraphicFramePr/>
      </xdr:nvGraphicFramePr>
      <xdr:xfrm>
        <a:off x="4648200" y="3324225"/>
        <a:ext cx="33623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323850</xdr:colOff>
      <xdr:row>34</xdr:row>
      <xdr:rowOff>57150</xdr:rowOff>
    </xdr:from>
    <xdr:to>
      <xdr:col>13</xdr:col>
      <xdr:colOff>57150</xdr:colOff>
      <xdr:row>48</xdr:row>
      <xdr:rowOff>66675</xdr:rowOff>
    </xdr:to>
    <xdr:graphicFrame>
      <xdr:nvGraphicFramePr>
        <xdr:cNvPr id="5" name="Chart 6"/>
        <xdr:cNvGraphicFramePr/>
      </xdr:nvGraphicFramePr>
      <xdr:xfrm>
        <a:off x="4657725" y="5562600"/>
        <a:ext cx="339090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285750</xdr:colOff>
      <xdr:row>48</xdr:row>
      <xdr:rowOff>133350</xdr:rowOff>
    </xdr:from>
    <xdr:to>
      <xdr:col>13</xdr:col>
      <xdr:colOff>152400</xdr:colOff>
      <xdr:row>63</xdr:row>
      <xdr:rowOff>57150</xdr:rowOff>
    </xdr:to>
    <xdr:graphicFrame>
      <xdr:nvGraphicFramePr>
        <xdr:cNvPr id="6" name="Chart 7"/>
        <xdr:cNvGraphicFramePr/>
      </xdr:nvGraphicFramePr>
      <xdr:xfrm>
        <a:off x="4619625" y="7905750"/>
        <a:ext cx="352425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161925</xdr:colOff>
      <xdr:row>63</xdr:row>
      <xdr:rowOff>152400</xdr:rowOff>
    </xdr:from>
    <xdr:to>
      <xdr:col>13</xdr:col>
      <xdr:colOff>57150</xdr:colOff>
      <xdr:row>77</xdr:row>
      <xdr:rowOff>152400</xdr:rowOff>
    </xdr:to>
    <xdr:graphicFrame>
      <xdr:nvGraphicFramePr>
        <xdr:cNvPr id="7" name="Chart 8"/>
        <xdr:cNvGraphicFramePr/>
      </xdr:nvGraphicFramePr>
      <xdr:xfrm>
        <a:off x="4495800" y="10353675"/>
        <a:ext cx="3552825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219075</xdr:colOff>
      <xdr:row>78</xdr:row>
      <xdr:rowOff>19050</xdr:rowOff>
    </xdr:from>
    <xdr:to>
      <xdr:col>13</xdr:col>
      <xdr:colOff>228600</xdr:colOff>
      <xdr:row>93</xdr:row>
      <xdr:rowOff>85725</xdr:rowOff>
    </xdr:to>
    <xdr:graphicFrame>
      <xdr:nvGraphicFramePr>
        <xdr:cNvPr id="8" name="Chart 9"/>
        <xdr:cNvGraphicFramePr/>
      </xdr:nvGraphicFramePr>
      <xdr:xfrm>
        <a:off x="4552950" y="12649200"/>
        <a:ext cx="3667125" cy="2495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333375</xdr:colOff>
      <xdr:row>96</xdr:row>
      <xdr:rowOff>28575</xdr:rowOff>
    </xdr:from>
    <xdr:to>
      <xdr:col>12</xdr:col>
      <xdr:colOff>371475</xdr:colOff>
      <xdr:row>111</xdr:row>
      <xdr:rowOff>114300</xdr:rowOff>
    </xdr:to>
    <xdr:graphicFrame>
      <xdr:nvGraphicFramePr>
        <xdr:cNvPr id="9" name="Chart 10"/>
        <xdr:cNvGraphicFramePr/>
      </xdr:nvGraphicFramePr>
      <xdr:xfrm>
        <a:off x="4667250" y="15573375"/>
        <a:ext cx="308610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285750</xdr:colOff>
      <xdr:row>112</xdr:row>
      <xdr:rowOff>19050</xdr:rowOff>
    </xdr:from>
    <xdr:to>
      <xdr:col>12</xdr:col>
      <xdr:colOff>323850</xdr:colOff>
      <xdr:row>126</xdr:row>
      <xdr:rowOff>114300</xdr:rowOff>
    </xdr:to>
    <xdr:graphicFrame>
      <xdr:nvGraphicFramePr>
        <xdr:cNvPr id="10" name="Chart 11"/>
        <xdr:cNvGraphicFramePr/>
      </xdr:nvGraphicFramePr>
      <xdr:xfrm>
        <a:off x="4619625" y="18154650"/>
        <a:ext cx="308610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133350</xdr:colOff>
      <xdr:row>130</xdr:row>
      <xdr:rowOff>57150</xdr:rowOff>
    </xdr:from>
    <xdr:to>
      <xdr:col>12</xdr:col>
      <xdr:colOff>85725</xdr:colOff>
      <xdr:row>145</xdr:row>
      <xdr:rowOff>0</xdr:rowOff>
    </xdr:to>
    <xdr:graphicFrame>
      <xdr:nvGraphicFramePr>
        <xdr:cNvPr id="11" name="Chart 12"/>
        <xdr:cNvGraphicFramePr/>
      </xdr:nvGraphicFramePr>
      <xdr:xfrm>
        <a:off x="4467225" y="21107400"/>
        <a:ext cx="3000375" cy="2371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13</xdr:row>
      <xdr:rowOff>76200</xdr:rowOff>
    </xdr:from>
    <xdr:to>
      <xdr:col>13</xdr:col>
      <xdr:colOff>314325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695825" y="2181225"/>
        <a:ext cx="37052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26</xdr:row>
      <xdr:rowOff>9525</xdr:rowOff>
    </xdr:from>
    <xdr:to>
      <xdr:col>13</xdr:col>
      <xdr:colOff>152400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4714875" y="4219575"/>
        <a:ext cx="35242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314325</xdr:colOff>
      <xdr:row>39</xdr:row>
      <xdr:rowOff>47625</xdr:rowOff>
    </xdr:from>
    <xdr:to>
      <xdr:col>13</xdr:col>
      <xdr:colOff>152400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4743450" y="6362700"/>
        <a:ext cx="349567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57</xdr:row>
      <xdr:rowOff>28575</xdr:rowOff>
    </xdr:from>
    <xdr:to>
      <xdr:col>13</xdr:col>
      <xdr:colOff>123825</xdr:colOff>
      <xdr:row>70</xdr:row>
      <xdr:rowOff>152400</xdr:rowOff>
    </xdr:to>
    <xdr:graphicFrame>
      <xdr:nvGraphicFramePr>
        <xdr:cNvPr id="4" name="Chart 4"/>
        <xdr:cNvGraphicFramePr/>
      </xdr:nvGraphicFramePr>
      <xdr:xfrm>
        <a:off x="4705350" y="9258300"/>
        <a:ext cx="35052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73</xdr:row>
      <xdr:rowOff>28575</xdr:rowOff>
    </xdr:from>
    <xdr:to>
      <xdr:col>13</xdr:col>
      <xdr:colOff>123825</xdr:colOff>
      <xdr:row>86</xdr:row>
      <xdr:rowOff>114300</xdr:rowOff>
    </xdr:to>
    <xdr:graphicFrame>
      <xdr:nvGraphicFramePr>
        <xdr:cNvPr id="5" name="Chart 5"/>
        <xdr:cNvGraphicFramePr/>
      </xdr:nvGraphicFramePr>
      <xdr:xfrm>
        <a:off x="4676775" y="11849100"/>
        <a:ext cx="353377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161925</xdr:colOff>
      <xdr:row>87</xdr:row>
      <xdr:rowOff>114300</xdr:rowOff>
    </xdr:from>
    <xdr:to>
      <xdr:col>13</xdr:col>
      <xdr:colOff>247650</xdr:colOff>
      <xdr:row>102</xdr:row>
      <xdr:rowOff>0</xdr:rowOff>
    </xdr:to>
    <xdr:graphicFrame>
      <xdr:nvGraphicFramePr>
        <xdr:cNvPr id="6" name="Chart 6"/>
        <xdr:cNvGraphicFramePr/>
      </xdr:nvGraphicFramePr>
      <xdr:xfrm>
        <a:off x="4591050" y="14201775"/>
        <a:ext cx="374332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323850</xdr:colOff>
      <xdr:row>103</xdr:row>
      <xdr:rowOff>19050</xdr:rowOff>
    </xdr:from>
    <xdr:to>
      <xdr:col>13</xdr:col>
      <xdr:colOff>323850</xdr:colOff>
      <xdr:row>117</xdr:row>
      <xdr:rowOff>19050</xdr:rowOff>
    </xdr:to>
    <xdr:graphicFrame>
      <xdr:nvGraphicFramePr>
        <xdr:cNvPr id="7" name="Chart 7"/>
        <xdr:cNvGraphicFramePr/>
      </xdr:nvGraphicFramePr>
      <xdr:xfrm>
        <a:off x="4752975" y="16697325"/>
        <a:ext cx="3657600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15</xdr:row>
      <xdr:rowOff>76200</xdr:rowOff>
    </xdr:from>
    <xdr:to>
      <xdr:col>12</xdr:col>
      <xdr:colOff>476250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552950" y="2505075"/>
        <a:ext cx="33909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26</xdr:row>
      <xdr:rowOff>123825</xdr:rowOff>
    </xdr:from>
    <xdr:to>
      <xdr:col>12</xdr:col>
      <xdr:colOff>552450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4524375" y="4333875"/>
        <a:ext cx="3495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39</xdr:row>
      <xdr:rowOff>114300</xdr:rowOff>
    </xdr:from>
    <xdr:to>
      <xdr:col>13</xdr:col>
      <xdr:colOff>38100</xdr:colOff>
      <xdr:row>53</xdr:row>
      <xdr:rowOff>123825</xdr:rowOff>
    </xdr:to>
    <xdr:graphicFrame>
      <xdr:nvGraphicFramePr>
        <xdr:cNvPr id="3" name="Chart 3"/>
        <xdr:cNvGraphicFramePr/>
      </xdr:nvGraphicFramePr>
      <xdr:xfrm>
        <a:off x="4552950" y="6429375"/>
        <a:ext cx="3562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57</xdr:row>
      <xdr:rowOff>76200</xdr:rowOff>
    </xdr:from>
    <xdr:to>
      <xdr:col>12</xdr:col>
      <xdr:colOff>523875</xdr:colOff>
      <xdr:row>71</xdr:row>
      <xdr:rowOff>47625</xdr:rowOff>
    </xdr:to>
    <xdr:graphicFrame>
      <xdr:nvGraphicFramePr>
        <xdr:cNvPr id="4" name="Chart 4"/>
        <xdr:cNvGraphicFramePr/>
      </xdr:nvGraphicFramePr>
      <xdr:xfrm>
        <a:off x="4457700" y="9305925"/>
        <a:ext cx="35337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133350</xdr:colOff>
      <xdr:row>73</xdr:row>
      <xdr:rowOff>47625</xdr:rowOff>
    </xdr:from>
    <xdr:to>
      <xdr:col>12</xdr:col>
      <xdr:colOff>466725</xdr:colOff>
      <xdr:row>87</xdr:row>
      <xdr:rowOff>9525</xdr:rowOff>
    </xdr:to>
    <xdr:graphicFrame>
      <xdr:nvGraphicFramePr>
        <xdr:cNvPr id="5" name="Chart 5"/>
        <xdr:cNvGraphicFramePr/>
      </xdr:nvGraphicFramePr>
      <xdr:xfrm>
        <a:off x="4552950" y="11868150"/>
        <a:ext cx="338137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152400</xdr:colOff>
      <xdr:row>89</xdr:row>
      <xdr:rowOff>142875</xdr:rowOff>
    </xdr:from>
    <xdr:to>
      <xdr:col>12</xdr:col>
      <xdr:colOff>438150</xdr:colOff>
      <xdr:row>104</xdr:row>
      <xdr:rowOff>47625</xdr:rowOff>
    </xdr:to>
    <xdr:graphicFrame>
      <xdr:nvGraphicFramePr>
        <xdr:cNvPr id="6" name="Chart 6"/>
        <xdr:cNvGraphicFramePr/>
      </xdr:nvGraphicFramePr>
      <xdr:xfrm>
        <a:off x="4572000" y="14554200"/>
        <a:ext cx="333375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95250</xdr:colOff>
      <xdr:row>106</xdr:row>
      <xdr:rowOff>142875</xdr:rowOff>
    </xdr:from>
    <xdr:to>
      <xdr:col>12</xdr:col>
      <xdr:colOff>542925</xdr:colOff>
      <xdr:row>120</xdr:row>
      <xdr:rowOff>104775</xdr:rowOff>
    </xdr:to>
    <xdr:graphicFrame>
      <xdr:nvGraphicFramePr>
        <xdr:cNvPr id="7" name="Chart 7"/>
        <xdr:cNvGraphicFramePr/>
      </xdr:nvGraphicFramePr>
      <xdr:xfrm>
        <a:off x="4514850" y="17306925"/>
        <a:ext cx="3495675" cy="2228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371475</xdr:colOff>
      <xdr:row>0</xdr:row>
      <xdr:rowOff>9525</xdr:rowOff>
    </xdr:from>
    <xdr:to>
      <xdr:col>12</xdr:col>
      <xdr:colOff>285750</xdr:colOff>
      <xdr:row>15</xdr:row>
      <xdr:rowOff>114300</xdr:rowOff>
    </xdr:to>
    <xdr:graphicFrame>
      <xdr:nvGraphicFramePr>
        <xdr:cNvPr id="8" name="Chart 8"/>
        <xdr:cNvGraphicFramePr/>
      </xdr:nvGraphicFramePr>
      <xdr:xfrm>
        <a:off x="3571875" y="9525"/>
        <a:ext cx="4181475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161925</xdr:colOff>
      <xdr:row>122</xdr:row>
      <xdr:rowOff>104775</xdr:rowOff>
    </xdr:from>
    <xdr:to>
      <xdr:col>12</xdr:col>
      <xdr:colOff>295275</xdr:colOff>
      <xdr:row>135</xdr:row>
      <xdr:rowOff>104775</xdr:rowOff>
    </xdr:to>
    <xdr:graphicFrame>
      <xdr:nvGraphicFramePr>
        <xdr:cNvPr id="9" name="Chart 9"/>
        <xdr:cNvGraphicFramePr/>
      </xdr:nvGraphicFramePr>
      <xdr:xfrm>
        <a:off x="4581525" y="19859625"/>
        <a:ext cx="318135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9</xdr:row>
      <xdr:rowOff>9525</xdr:rowOff>
    </xdr:from>
    <xdr:to>
      <xdr:col>12</xdr:col>
      <xdr:colOff>438150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495800" y="1466850"/>
        <a:ext cx="33528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22</xdr:row>
      <xdr:rowOff>38100</xdr:rowOff>
    </xdr:from>
    <xdr:to>
      <xdr:col>12</xdr:col>
      <xdr:colOff>390525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4467225" y="3600450"/>
        <a:ext cx="33337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123825</xdr:colOff>
      <xdr:row>35</xdr:row>
      <xdr:rowOff>19050</xdr:rowOff>
    </xdr:from>
    <xdr:to>
      <xdr:col>12</xdr:col>
      <xdr:colOff>333375</xdr:colOff>
      <xdr:row>48</xdr:row>
      <xdr:rowOff>47625</xdr:rowOff>
    </xdr:to>
    <xdr:graphicFrame>
      <xdr:nvGraphicFramePr>
        <xdr:cNvPr id="3" name="Chart 3"/>
        <xdr:cNvGraphicFramePr/>
      </xdr:nvGraphicFramePr>
      <xdr:xfrm>
        <a:off x="4486275" y="5686425"/>
        <a:ext cx="325755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</xdr:colOff>
      <xdr:row>50</xdr:row>
      <xdr:rowOff>123825</xdr:rowOff>
    </xdr:from>
    <xdr:to>
      <xdr:col>12</xdr:col>
      <xdr:colOff>581025</xdr:colOff>
      <xdr:row>64</xdr:row>
      <xdr:rowOff>142875</xdr:rowOff>
    </xdr:to>
    <xdr:graphicFrame>
      <xdr:nvGraphicFramePr>
        <xdr:cNvPr id="4" name="Chart 4"/>
        <xdr:cNvGraphicFramePr/>
      </xdr:nvGraphicFramePr>
      <xdr:xfrm>
        <a:off x="4438650" y="8220075"/>
        <a:ext cx="35528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142875</xdr:colOff>
      <xdr:row>67</xdr:row>
      <xdr:rowOff>76200</xdr:rowOff>
    </xdr:from>
    <xdr:to>
      <xdr:col>12</xdr:col>
      <xdr:colOff>400050</xdr:colOff>
      <xdr:row>81</xdr:row>
      <xdr:rowOff>38100</xdr:rowOff>
    </xdr:to>
    <xdr:graphicFrame>
      <xdr:nvGraphicFramePr>
        <xdr:cNvPr id="5" name="Chart 5"/>
        <xdr:cNvGraphicFramePr/>
      </xdr:nvGraphicFramePr>
      <xdr:xfrm>
        <a:off x="4505325" y="10925175"/>
        <a:ext cx="330517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83</xdr:row>
      <xdr:rowOff>152400</xdr:rowOff>
    </xdr:from>
    <xdr:to>
      <xdr:col>12</xdr:col>
      <xdr:colOff>438150</xdr:colOff>
      <xdr:row>97</xdr:row>
      <xdr:rowOff>142875</xdr:rowOff>
    </xdr:to>
    <xdr:graphicFrame>
      <xdr:nvGraphicFramePr>
        <xdr:cNvPr id="6" name="Chart 6"/>
        <xdr:cNvGraphicFramePr/>
      </xdr:nvGraphicFramePr>
      <xdr:xfrm>
        <a:off x="4429125" y="13592175"/>
        <a:ext cx="3419475" cy="2257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171450</xdr:colOff>
      <xdr:row>102</xdr:row>
      <xdr:rowOff>142875</xdr:rowOff>
    </xdr:from>
    <xdr:to>
      <xdr:col>12</xdr:col>
      <xdr:colOff>447675</xdr:colOff>
      <xdr:row>115</xdr:row>
      <xdr:rowOff>152400</xdr:rowOff>
    </xdr:to>
    <xdr:graphicFrame>
      <xdr:nvGraphicFramePr>
        <xdr:cNvPr id="7" name="Chart 7"/>
        <xdr:cNvGraphicFramePr/>
      </xdr:nvGraphicFramePr>
      <xdr:xfrm>
        <a:off x="4533900" y="16659225"/>
        <a:ext cx="33242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11</xdr:col>
      <xdr:colOff>371475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3571875" y="0"/>
        <a:ext cx="35718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8</xdr:row>
      <xdr:rowOff>114300</xdr:rowOff>
    </xdr:from>
    <xdr:to>
      <xdr:col>12</xdr:col>
      <xdr:colOff>438150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448175" y="1409700"/>
        <a:ext cx="33718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247650</xdr:colOff>
      <xdr:row>22</xdr:row>
      <xdr:rowOff>19050</xdr:rowOff>
    </xdr:from>
    <xdr:to>
      <xdr:col>12</xdr:col>
      <xdr:colOff>228600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4581525" y="3581400"/>
        <a:ext cx="302895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304800</xdr:colOff>
      <xdr:row>35</xdr:row>
      <xdr:rowOff>114300</xdr:rowOff>
    </xdr:from>
    <xdr:to>
      <xdr:col>12</xdr:col>
      <xdr:colOff>514350</xdr:colOff>
      <xdr:row>48</xdr:row>
      <xdr:rowOff>152400</xdr:rowOff>
    </xdr:to>
    <xdr:graphicFrame>
      <xdr:nvGraphicFramePr>
        <xdr:cNvPr id="4" name="Chart 4"/>
        <xdr:cNvGraphicFramePr/>
      </xdr:nvGraphicFramePr>
      <xdr:xfrm>
        <a:off x="4638675" y="5781675"/>
        <a:ext cx="325755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52</xdr:row>
      <xdr:rowOff>133350</xdr:rowOff>
    </xdr:from>
    <xdr:to>
      <xdr:col>12</xdr:col>
      <xdr:colOff>561975</xdr:colOff>
      <xdr:row>67</xdr:row>
      <xdr:rowOff>9525</xdr:rowOff>
    </xdr:to>
    <xdr:graphicFrame>
      <xdr:nvGraphicFramePr>
        <xdr:cNvPr id="5" name="Chart 5"/>
        <xdr:cNvGraphicFramePr/>
      </xdr:nvGraphicFramePr>
      <xdr:xfrm>
        <a:off x="4410075" y="8553450"/>
        <a:ext cx="3533775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69</xdr:row>
      <xdr:rowOff>142875</xdr:rowOff>
    </xdr:from>
    <xdr:to>
      <xdr:col>12</xdr:col>
      <xdr:colOff>438150</xdr:colOff>
      <xdr:row>83</xdr:row>
      <xdr:rowOff>85725</xdr:rowOff>
    </xdr:to>
    <xdr:graphicFrame>
      <xdr:nvGraphicFramePr>
        <xdr:cNvPr id="6" name="Chart 6"/>
        <xdr:cNvGraphicFramePr/>
      </xdr:nvGraphicFramePr>
      <xdr:xfrm>
        <a:off x="4610100" y="11315700"/>
        <a:ext cx="3209925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247650</xdr:colOff>
      <xdr:row>87</xdr:row>
      <xdr:rowOff>19050</xdr:rowOff>
    </xdr:from>
    <xdr:to>
      <xdr:col>12</xdr:col>
      <xdr:colOff>361950</xdr:colOff>
      <xdr:row>100</xdr:row>
      <xdr:rowOff>152400</xdr:rowOff>
    </xdr:to>
    <xdr:graphicFrame>
      <xdr:nvGraphicFramePr>
        <xdr:cNvPr id="7" name="Chart 7"/>
        <xdr:cNvGraphicFramePr/>
      </xdr:nvGraphicFramePr>
      <xdr:xfrm>
        <a:off x="4581525" y="14106525"/>
        <a:ext cx="316230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266700</xdr:colOff>
      <xdr:row>102</xdr:row>
      <xdr:rowOff>152400</xdr:rowOff>
    </xdr:from>
    <xdr:to>
      <xdr:col>12</xdr:col>
      <xdr:colOff>371475</xdr:colOff>
      <xdr:row>116</xdr:row>
      <xdr:rowOff>85725</xdr:rowOff>
    </xdr:to>
    <xdr:graphicFrame>
      <xdr:nvGraphicFramePr>
        <xdr:cNvPr id="8" name="Chart 8"/>
        <xdr:cNvGraphicFramePr/>
      </xdr:nvGraphicFramePr>
      <xdr:xfrm>
        <a:off x="4600575" y="16668750"/>
        <a:ext cx="315277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25">
      <selection activeCell="I49" sqref="I49"/>
    </sheetView>
  </sheetViews>
  <sheetFormatPr defaultColWidth="9.140625" defaultRowHeight="12.75"/>
  <sheetData>
    <row r="1" spans="1:11" ht="12.75">
      <c r="A1" s="2" t="s">
        <v>63</v>
      </c>
      <c r="G1" s="2" t="s">
        <v>67</v>
      </c>
      <c r="K1" t="s">
        <v>68</v>
      </c>
    </row>
    <row r="2" spans="7:15" ht="12.75">
      <c r="G2" t="s">
        <v>31</v>
      </c>
      <c r="H2" t="s">
        <v>61</v>
      </c>
      <c r="I2" t="s">
        <v>62</v>
      </c>
      <c r="K2" t="s">
        <v>70</v>
      </c>
      <c r="M2" t="s">
        <v>71</v>
      </c>
      <c r="N2" t="s">
        <v>47</v>
      </c>
      <c r="O2" t="s">
        <v>72</v>
      </c>
    </row>
    <row r="3" spans="1:13" ht="12.75">
      <c r="A3" t="s">
        <v>31</v>
      </c>
      <c r="B3" t="s">
        <v>32</v>
      </c>
      <c r="C3" t="s">
        <v>64</v>
      </c>
      <c r="G3">
        <v>40</v>
      </c>
      <c r="H3">
        <v>0.25878594249201275</v>
      </c>
      <c r="I3">
        <v>0.77</v>
      </c>
      <c r="K3" t="s">
        <v>69</v>
      </c>
      <c r="L3" t="s">
        <v>73</v>
      </c>
      <c r="M3" t="s">
        <v>74</v>
      </c>
    </row>
    <row r="4" spans="1:15" ht="12.75">
      <c r="A4">
        <v>40</v>
      </c>
      <c r="B4">
        <v>0.76</v>
      </c>
      <c r="C4">
        <v>0.315</v>
      </c>
      <c r="G4">
        <v>60</v>
      </c>
      <c r="H4">
        <v>0.5207226354941552</v>
      </c>
      <c r="I4">
        <v>1.02</v>
      </c>
      <c r="K4">
        <v>0</v>
      </c>
      <c r="L4">
        <v>0.7</v>
      </c>
      <c r="M4">
        <v>0.44</v>
      </c>
      <c r="N4">
        <v>0.23</v>
      </c>
      <c r="O4">
        <v>0.09</v>
      </c>
    </row>
    <row r="5" spans="1:15" ht="12.75">
      <c r="A5">
        <v>60</v>
      </c>
      <c r="B5">
        <v>1.02</v>
      </c>
      <c r="C5">
        <v>0.543</v>
      </c>
      <c r="D5">
        <v>40</v>
      </c>
      <c r="E5">
        <f>0.000000000005*D5^5-0.000000005*D5^4+0.000002*D5^3-0.0004*D5^2+0.0367*D5-0.6564</f>
        <v>0.28731200000000023</v>
      </c>
      <c r="G5">
        <v>80</v>
      </c>
      <c r="H5">
        <v>0.591304347826087</v>
      </c>
      <c r="I5">
        <v>1.18</v>
      </c>
      <c r="K5">
        <v>10</v>
      </c>
      <c r="L5">
        <v>36.8</v>
      </c>
      <c r="M5">
        <v>5.4</v>
      </c>
      <c r="N5">
        <v>1.7</v>
      </c>
      <c r="O5">
        <v>0.6</v>
      </c>
    </row>
    <row r="6" spans="1:15" ht="12.75">
      <c r="A6">
        <v>80</v>
      </c>
      <c r="B6">
        <v>1.23</v>
      </c>
      <c r="C6">
        <v>0.674</v>
      </c>
      <c r="D6">
        <v>80</v>
      </c>
      <c r="E6">
        <f>0.000000000005*D6^5-0.000000005*D6^4+0.000002*D6^3-0.0004*D6^2+0.0367*D6-0.6564</f>
        <v>0.5551840000000002</v>
      </c>
      <c r="G6">
        <v>100</v>
      </c>
      <c r="H6">
        <v>0.6925162689804772</v>
      </c>
      <c r="I6">
        <v>1.35</v>
      </c>
      <c r="K6">
        <v>20</v>
      </c>
      <c r="L6">
        <v>55</v>
      </c>
      <c r="M6">
        <v>7.75</v>
      </c>
      <c r="N6">
        <v>2.5</v>
      </c>
      <c r="O6">
        <v>0.9</v>
      </c>
    </row>
    <row r="7" spans="1:15" ht="12.75">
      <c r="A7">
        <v>100</v>
      </c>
      <c r="B7">
        <v>1.41</v>
      </c>
      <c r="C7">
        <v>0.729</v>
      </c>
      <c r="D7">
        <v>150</v>
      </c>
      <c r="E7">
        <f>0.000000000005*D7^5-0.000000005*D7^4+0.000002*D7^3-0.0004*D7^2+0.0367*D7-0.6564</f>
        <v>0.447037500000001</v>
      </c>
      <c r="G7">
        <v>150</v>
      </c>
      <c r="H7">
        <v>0.754853022739878</v>
      </c>
      <c r="I7">
        <v>1.725</v>
      </c>
      <c r="K7">
        <v>30</v>
      </c>
      <c r="L7">
        <v>70</v>
      </c>
      <c r="M7">
        <v>9.7</v>
      </c>
      <c r="N7">
        <v>3</v>
      </c>
      <c r="O7">
        <v>1</v>
      </c>
    </row>
    <row r="8" spans="1:15" ht="12.75">
      <c r="A8">
        <v>150</v>
      </c>
      <c r="B8">
        <v>1.81</v>
      </c>
      <c r="C8">
        <v>0.813</v>
      </c>
      <c r="D8">
        <v>260</v>
      </c>
      <c r="E8">
        <f>0.000000000005*D8^5-0.000000005*D8^4+0.000002*D8^3-0.0004*D8^2+0.0367*D8-0.6564</f>
        <v>0.08948799999999724</v>
      </c>
      <c r="G8">
        <v>200</v>
      </c>
      <c r="H8">
        <v>0.8113407525172232</v>
      </c>
      <c r="I8">
        <v>2.17</v>
      </c>
      <c r="K8">
        <v>40</v>
      </c>
      <c r="L8">
        <v>84</v>
      </c>
      <c r="M8">
        <v>11.2</v>
      </c>
      <c r="N8">
        <v>3.8</v>
      </c>
      <c r="O8">
        <v>1.2</v>
      </c>
    </row>
    <row r="9" spans="1:15" ht="12.75">
      <c r="A9">
        <v>200</v>
      </c>
      <c r="B9">
        <v>2.25</v>
      </c>
      <c r="C9">
        <v>0.878</v>
      </c>
      <c r="D9">
        <v>265</v>
      </c>
      <c r="E9">
        <f>0.000000000005*D9^5-0.000000005*D9^4+0.000002*D9^3-0.0004*D9^2+0.0367*D9-0.6564</f>
        <v>0.07490145312499552</v>
      </c>
      <c r="G9">
        <v>250</v>
      </c>
      <c r="H9">
        <v>0.8525530694205393</v>
      </c>
      <c r="I9">
        <v>2.33</v>
      </c>
      <c r="K9">
        <v>50</v>
      </c>
      <c r="L9">
        <v>97.2</v>
      </c>
      <c r="M9">
        <v>12.7</v>
      </c>
      <c r="N9">
        <v>4.4</v>
      </c>
      <c r="O9">
        <v>1.3</v>
      </c>
    </row>
    <row r="10" spans="1:15" ht="12.75">
      <c r="A10">
        <v>250</v>
      </c>
      <c r="B10">
        <v>2.54</v>
      </c>
      <c r="C10">
        <v>0.915</v>
      </c>
      <c r="G10">
        <v>300</v>
      </c>
      <c r="H10">
        <v>0.8756110809342749</v>
      </c>
      <c r="I10">
        <v>2.32</v>
      </c>
      <c r="K10">
        <v>60</v>
      </c>
      <c r="L10">
        <v>109.8</v>
      </c>
      <c r="M10">
        <v>14</v>
      </c>
      <c r="N10">
        <v>4.9</v>
      </c>
      <c r="O10">
        <v>1.5</v>
      </c>
    </row>
    <row r="11" spans="1:15" ht="12.75">
      <c r="A11">
        <v>300</v>
      </c>
      <c r="B11">
        <v>2.75</v>
      </c>
      <c r="C11">
        <v>0.904</v>
      </c>
      <c r="K11">
        <v>70</v>
      </c>
      <c r="L11">
        <v>122</v>
      </c>
      <c r="M11">
        <v>17.2</v>
      </c>
      <c r="N11">
        <v>5.5</v>
      </c>
      <c r="O11">
        <v>1.7</v>
      </c>
    </row>
    <row r="12" spans="1:15" ht="12.75">
      <c r="A12">
        <v>350</v>
      </c>
      <c r="B12">
        <v>2.83</v>
      </c>
      <c r="C12">
        <v>0.916</v>
      </c>
      <c r="G12" s="2" t="s">
        <v>68</v>
      </c>
      <c r="K12">
        <v>80</v>
      </c>
      <c r="L12">
        <v>132.7</v>
      </c>
      <c r="M12">
        <v>17.8</v>
      </c>
      <c r="N12">
        <v>6</v>
      </c>
      <c r="O12">
        <v>1.8</v>
      </c>
    </row>
    <row r="13" spans="1:15" ht="12.75">
      <c r="A13">
        <v>400</v>
      </c>
      <c r="B13">
        <v>2.84</v>
      </c>
      <c r="G13" t="s">
        <v>69</v>
      </c>
      <c r="H13" t="s">
        <v>61</v>
      </c>
      <c r="I13" t="s">
        <v>62</v>
      </c>
      <c r="K13">
        <v>90</v>
      </c>
      <c r="L13">
        <v>143.5</v>
      </c>
      <c r="M13">
        <v>20</v>
      </c>
      <c r="N13">
        <v>6.3</v>
      </c>
      <c r="O13">
        <v>2</v>
      </c>
    </row>
    <row r="14" spans="7:15" ht="12.75">
      <c r="G14">
        <v>40</v>
      </c>
      <c r="H14">
        <v>0.27658402203856747</v>
      </c>
      <c r="I14">
        <v>0.79</v>
      </c>
      <c r="K14">
        <v>100</v>
      </c>
      <c r="L14">
        <v>153.8</v>
      </c>
      <c r="M14">
        <v>21.5</v>
      </c>
      <c r="N14">
        <v>6.5</v>
      </c>
      <c r="O14">
        <v>2.2</v>
      </c>
    </row>
    <row r="15" spans="1:15" ht="12.75">
      <c r="A15" s="2" t="s">
        <v>65</v>
      </c>
      <c r="G15">
        <v>60</v>
      </c>
      <c r="H15">
        <v>0.5261692650334076</v>
      </c>
      <c r="I15">
        <v>1.02</v>
      </c>
      <c r="K15">
        <v>120</v>
      </c>
      <c r="L15">
        <v>173.1</v>
      </c>
      <c r="M15">
        <v>22.8</v>
      </c>
      <c r="N15">
        <v>7.2</v>
      </c>
      <c r="O15">
        <v>2.35</v>
      </c>
    </row>
    <row r="16" spans="7:15" ht="12.75">
      <c r="G16">
        <v>80</v>
      </c>
      <c r="H16">
        <v>0.6616331096196868</v>
      </c>
      <c r="I16">
        <v>1.24</v>
      </c>
      <c r="K16">
        <v>150</v>
      </c>
      <c r="L16">
        <v>200</v>
      </c>
      <c r="M16">
        <v>26.5</v>
      </c>
      <c r="N16">
        <v>8.2</v>
      </c>
      <c r="O16">
        <v>2.67</v>
      </c>
    </row>
    <row r="17" spans="1:15" ht="12.75">
      <c r="A17" t="s">
        <v>31</v>
      </c>
      <c r="B17" t="s">
        <v>45</v>
      </c>
      <c r="C17" t="s">
        <v>46</v>
      </c>
      <c r="G17">
        <v>100</v>
      </c>
      <c r="H17">
        <v>0.7627906976744186</v>
      </c>
      <c r="I17">
        <v>1.43</v>
      </c>
      <c r="K17">
        <v>200</v>
      </c>
      <c r="L17">
        <v>240</v>
      </c>
      <c r="M17">
        <v>31.3</v>
      </c>
      <c r="N17">
        <v>9.9</v>
      </c>
      <c r="O17">
        <v>2.9</v>
      </c>
    </row>
    <row r="18" spans="1:15" ht="12.75">
      <c r="A18">
        <v>40</v>
      </c>
      <c r="B18">
        <v>0.295</v>
      </c>
      <c r="C18">
        <v>0.78</v>
      </c>
      <c r="D18">
        <v>150</v>
      </c>
      <c r="E18">
        <f>0.0000002*D18^3-0.00009*D18^2+0.0187*D18-0.3129</f>
        <v>1.1421000000000001</v>
      </c>
      <c r="G18">
        <v>150</v>
      </c>
      <c r="H18">
        <v>0.890452876376989</v>
      </c>
      <c r="I18">
        <v>1.87</v>
      </c>
      <c r="K18">
        <v>250</v>
      </c>
      <c r="L18">
        <v>277</v>
      </c>
      <c r="M18">
        <v>37.6</v>
      </c>
      <c r="N18">
        <v>23</v>
      </c>
      <c r="O18">
        <v>11.2</v>
      </c>
    </row>
    <row r="19" spans="1:15" ht="12.75">
      <c r="A19">
        <v>60</v>
      </c>
      <c r="B19">
        <v>0.5089108910891089</v>
      </c>
      <c r="C19">
        <v>0.98</v>
      </c>
      <c r="D19">
        <v>100</v>
      </c>
      <c r="E19">
        <f>0.0000002*D19^3-0.00009*D19^2+0.0187*D19-0.3129</f>
        <v>0.8571</v>
      </c>
      <c r="G19">
        <v>200</v>
      </c>
      <c r="H19">
        <v>0.9563739376770538</v>
      </c>
      <c r="I19">
        <v>2.24</v>
      </c>
      <c r="K19">
        <v>300</v>
      </c>
      <c r="L19">
        <v>314</v>
      </c>
      <c r="M19">
        <v>69</v>
      </c>
      <c r="N19">
        <v>34.4</v>
      </c>
      <c r="O19">
        <v>17.9</v>
      </c>
    </row>
    <row r="20" spans="1:15" ht="12.75">
      <c r="A20">
        <v>80</v>
      </c>
      <c r="B20">
        <v>0.669260700389105</v>
      </c>
      <c r="C20">
        <v>1.25</v>
      </c>
      <c r="D20">
        <v>240</v>
      </c>
      <c r="E20">
        <f>0.0000002*D20^3-0.00009*D20^2+0.0187*D20-0.3129</f>
        <v>1.7559</v>
      </c>
      <c r="G20">
        <v>250</v>
      </c>
      <c r="H20">
        <v>0.9810779816513762</v>
      </c>
      <c r="I20">
        <v>2.57</v>
      </c>
      <c r="K20">
        <v>350</v>
      </c>
      <c r="L20">
        <v>390</v>
      </c>
      <c r="M20">
        <v>94</v>
      </c>
      <c r="N20">
        <v>45</v>
      </c>
      <c r="O20">
        <v>24.3</v>
      </c>
    </row>
    <row r="21" spans="1:15" ht="12.75">
      <c r="A21">
        <v>100</v>
      </c>
      <c r="B21">
        <v>0.7214870825456837</v>
      </c>
      <c r="C21">
        <v>1.42</v>
      </c>
      <c r="D21">
        <f>D20+5</f>
        <v>245</v>
      </c>
      <c r="E21">
        <f>0.00000000001*D21^5-0.000000009*D21^4+0.000003*D21^3-0.0005*D21^2+0.0417*D21-0.8013</f>
        <v>-0.07857909374999983</v>
      </c>
      <c r="K21">
        <v>400</v>
      </c>
      <c r="L21">
        <v>0</v>
      </c>
      <c r="M21">
        <v>114.6</v>
      </c>
      <c r="N21">
        <v>61</v>
      </c>
      <c r="O21">
        <v>32</v>
      </c>
    </row>
    <row r="22" spans="1:7" ht="12.75">
      <c r="A22">
        <v>150</v>
      </c>
      <c r="B22">
        <v>0.8553745928338762</v>
      </c>
      <c r="C22">
        <v>1.88</v>
      </c>
      <c r="D22">
        <f>D21+5</f>
        <v>250</v>
      </c>
      <c r="E22">
        <f>0.00000000001*D22^5-0.000000009*D22^4+0.000003*D22^3-0.0005*D22^2+0.0417*D22-0.8013</f>
        <v>-0.1419249999999993</v>
      </c>
      <c r="G22" s="2" t="s">
        <v>80</v>
      </c>
    </row>
    <row r="23" spans="1:9" ht="12.75">
      <c r="A23">
        <v>200</v>
      </c>
      <c r="B23">
        <v>0.9287515762925599</v>
      </c>
      <c r="C23">
        <v>2.19</v>
      </c>
      <c r="D23">
        <f>D22+5</f>
        <v>255</v>
      </c>
      <c r="E23">
        <f>0.00000000001*D23^5-0.000000009*D23^4+0.000003*D23^3-0.0005*D23^2+0.0417*D23-0.8013</f>
        <v>-0.20839153124999454</v>
      </c>
      <c r="G23" t="s">
        <v>69</v>
      </c>
      <c r="H23" t="s">
        <v>45</v>
      </c>
      <c r="I23" t="s">
        <v>62</v>
      </c>
    </row>
    <row r="24" spans="1:9" ht="12.75">
      <c r="A24">
        <v>250</v>
      </c>
      <c r="B24">
        <v>0.9662162162162162</v>
      </c>
      <c r="C24">
        <v>2.53</v>
      </c>
      <c r="D24">
        <f>D23+5</f>
        <v>260</v>
      </c>
      <c r="E24">
        <f>0.00000000001*D24^5-0.000000009*D24^4+0.000003*D24^3-0.0005*D24^2+0.0417*D24-0.8013</f>
        <v>-0.2777639999999947</v>
      </c>
      <c r="G24">
        <v>40</v>
      </c>
      <c r="H24">
        <v>0.2101038715769594</v>
      </c>
      <c r="I24">
        <v>0.76</v>
      </c>
    </row>
    <row r="25" spans="1:9" ht="12.75">
      <c r="A25">
        <v>300</v>
      </c>
      <c r="B25">
        <v>0.9121265377855887</v>
      </c>
      <c r="C25">
        <v>2.45</v>
      </c>
      <c r="D25">
        <f>D24+5</f>
        <v>265</v>
      </c>
      <c r="E25">
        <f>0.00000000001*D25^5-0.000000009*D25^4+0.000003*D25^3-0.0005*D25^2+0.0417*D25-0.8013</f>
        <v>-0.34977146875000165</v>
      </c>
      <c r="G25">
        <v>60</v>
      </c>
      <c r="H25">
        <v>0.48726738491674826</v>
      </c>
      <c r="I25">
        <v>0.96</v>
      </c>
    </row>
    <row r="26" spans="1:9" ht="12.75">
      <c r="A26">
        <v>350</v>
      </c>
      <c r="B26">
        <v>0.8926116838487973</v>
      </c>
      <c r="C26">
        <v>2.59</v>
      </c>
      <c r="G26">
        <v>80</v>
      </c>
      <c r="H26">
        <v>0.6061757719714964</v>
      </c>
      <c r="I26">
        <v>1.16</v>
      </c>
    </row>
    <row r="27" spans="7:9" ht="12.75">
      <c r="G27">
        <v>100</v>
      </c>
      <c r="H27">
        <v>0.6689965052421368</v>
      </c>
      <c r="I27">
        <v>1.34</v>
      </c>
    </row>
    <row r="28" spans="1:9" ht="12.75">
      <c r="A28" s="2" t="s">
        <v>66</v>
      </c>
      <c r="G28">
        <v>150</v>
      </c>
      <c r="H28">
        <v>0.7934044616876819</v>
      </c>
      <c r="I28">
        <v>1.72</v>
      </c>
    </row>
    <row r="29" spans="7:9" ht="12.75">
      <c r="G29">
        <v>200</v>
      </c>
      <c r="H29">
        <v>0.8823529411764706</v>
      </c>
      <c r="I29">
        <v>2.09</v>
      </c>
    </row>
    <row r="30" spans="1:9" ht="12.75">
      <c r="A30" t="s">
        <v>31</v>
      </c>
      <c r="B30" t="s">
        <v>61</v>
      </c>
      <c r="C30" t="s">
        <v>62</v>
      </c>
      <c r="G30">
        <v>250</v>
      </c>
      <c r="H30">
        <v>0.9530720851475568</v>
      </c>
      <c r="I30">
        <v>2.3</v>
      </c>
    </row>
    <row r="31" spans="1:3" ht="12.75">
      <c r="A31">
        <v>40</v>
      </c>
      <c r="B31">
        <v>0.24746125066809194</v>
      </c>
      <c r="C31">
        <v>0.8</v>
      </c>
    </row>
    <row r="32" spans="1:7" ht="12.75">
      <c r="A32">
        <v>60</v>
      </c>
      <c r="B32">
        <v>0.5199362041467305</v>
      </c>
      <c r="C32">
        <v>1</v>
      </c>
      <c r="G32" s="2" t="s">
        <v>89</v>
      </c>
    </row>
    <row r="33" spans="1:9" ht="12.75">
      <c r="A33">
        <v>80</v>
      </c>
      <c r="B33">
        <v>0.7051835853131749</v>
      </c>
      <c r="C33">
        <v>1.24</v>
      </c>
      <c r="G33" t="str">
        <f>'400 min anneal'!A2</f>
        <v>Voltage</v>
      </c>
      <c r="H33" t="str">
        <f>'400 min anneal'!B2</f>
        <v>eff at 1fC</v>
      </c>
      <c r="I33" t="str">
        <f>'400 min anneal'!C2</f>
        <v>med Q</v>
      </c>
    </row>
    <row r="34" spans="1:9" ht="12.75">
      <c r="A34">
        <v>100</v>
      </c>
      <c r="B34">
        <v>0.7643540669856459</v>
      </c>
      <c r="C34">
        <v>1.42</v>
      </c>
      <c r="G34">
        <f>'400 min anneal'!A3</f>
        <v>40</v>
      </c>
      <c r="H34">
        <f>'400 min anneal'!B3</f>
        <v>0.18370607028753994</v>
      </c>
      <c r="I34">
        <f>'400 min anneal'!C3</f>
        <v>0.76</v>
      </c>
    </row>
    <row r="35" spans="1:9" ht="12.75">
      <c r="A35">
        <v>150</v>
      </c>
      <c r="B35">
        <v>0.8680897646414888</v>
      </c>
      <c r="C35">
        <v>1.87</v>
      </c>
      <c r="G35">
        <f>'400 min anneal'!A4</f>
        <v>60</v>
      </c>
      <c r="H35">
        <f>'400 min anneal'!B4</f>
        <v>0.4293248945147679</v>
      </c>
      <c r="I35">
        <f>'400 min anneal'!C4</f>
        <v>0.91</v>
      </c>
    </row>
    <row r="36" spans="1:9" ht="12.75">
      <c r="A36">
        <v>200</v>
      </c>
      <c r="B36">
        <v>0.9479110146500271</v>
      </c>
      <c r="C36">
        <v>2.3</v>
      </c>
      <c r="G36">
        <f>'400 min anneal'!A5</f>
        <v>80</v>
      </c>
      <c r="H36">
        <f>'400 min anneal'!B5</f>
        <v>0.6479481641468683</v>
      </c>
      <c r="I36">
        <f>'400 min anneal'!C5</f>
        <v>1.1400000000000001</v>
      </c>
    </row>
    <row r="37" spans="1:9" ht="12.75">
      <c r="A37">
        <v>250</v>
      </c>
      <c r="B37">
        <v>0.9804141018466704</v>
      </c>
      <c r="C37">
        <v>2.62</v>
      </c>
      <c r="G37">
        <f>'400 min anneal'!A6</f>
        <v>100</v>
      </c>
      <c r="H37">
        <f>'400 min anneal'!B6</f>
        <v>0.685510428100988</v>
      </c>
      <c r="I37">
        <f>'400 min anneal'!C6</f>
        <v>1.33</v>
      </c>
    </row>
    <row r="38" spans="7:9" ht="12.75">
      <c r="G38">
        <f>'400 min anneal'!A7</f>
        <v>150</v>
      </c>
      <c r="H38">
        <f>'400 min anneal'!B7</f>
        <v>0.8060773480662984</v>
      </c>
      <c r="I38">
        <f>'400 min anneal'!C7</f>
        <v>1.68</v>
      </c>
    </row>
    <row r="39" spans="1:9" ht="12.75">
      <c r="A39" s="2" t="s">
        <v>96</v>
      </c>
      <c r="G39">
        <f>'400 min anneal'!A8</f>
        <v>200</v>
      </c>
      <c r="H39">
        <f>'400 min anneal'!B8</f>
        <v>0.8707833047455689</v>
      </c>
      <c r="I39">
        <f>'400 min anneal'!C8</f>
        <v>2.01</v>
      </c>
    </row>
    <row r="40" spans="1:9" ht="12.75">
      <c r="A40" t="str">
        <f>'600min anneal'!A1</f>
        <v>T = -20</v>
      </c>
      <c r="G40">
        <f>'400 min anneal'!A9</f>
        <v>250</v>
      </c>
      <c r="H40">
        <f>'400 min anneal'!B9</f>
        <v>0.9232987312572087</v>
      </c>
      <c r="I40">
        <f>'400 min anneal'!C9</f>
        <v>2.2699999999999996</v>
      </c>
    </row>
    <row r="41" spans="1:3" ht="12.75">
      <c r="A41" t="str">
        <f>'600min anneal'!A2</f>
        <v>Voltage</v>
      </c>
      <c r="B41" t="str">
        <f>'600min anneal'!B2</f>
        <v>eff at 1fC</v>
      </c>
      <c r="C41" t="str">
        <f>'600min anneal'!C2</f>
        <v>med Q</v>
      </c>
    </row>
    <row r="42" spans="1:7" ht="12.75">
      <c r="A42">
        <f>'600min anneal'!A3</f>
        <v>40</v>
      </c>
      <c r="B42">
        <f>'600min anneal'!B3</f>
        <v>0.2110502737680438</v>
      </c>
      <c r="C42">
        <f>'600min anneal'!C3</f>
        <v>0.5700000000000001</v>
      </c>
      <c r="G42" s="2" t="s">
        <v>102</v>
      </c>
    </row>
    <row r="43" spans="1:9" ht="12.75">
      <c r="A43">
        <f>'600min anneal'!A4</f>
        <v>60</v>
      </c>
      <c r="B43">
        <f>'600min anneal'!B4</f>
        <v>0.4212678936605317</v>
      </c>
      <c r="C43">
        <f>'600min anneal'!C4</f>
        <v>0.9</v>
      </c>
      <c r="G43" t="str">
        <f>'1000min anneal'!A2</f>
        <v>Voltage</v>
      </c>
      <c r="H43" t="str">
        <f>'1000min anneal'!B2</f>
        <v>eff at 1fC</v>
      </c>
      <c r="I43" t="str">
        <f>'1000min anneal'!C2</f>
        <v>med Q</v>
      </c>
    </row>
    <row r="44" spans="1:9" ht="12.75">
      <c r="A44">
        <f>'600min anneal'!A5</f>
        <v>80</v>
      </c>
      <c r="B44">
        <f>'600min anneal'!B5</f>
        <v>0.607377463365336</v>
      </c>
      <c r="C44">
        <f>'600min anneal'!C5</f>
        <v>1.09</v>
      </c>
      <c r="G44">
        <f>'1000min anneal'!A3</f>
        <v>40</v>
      </c>
      <c r="H44">
        <f>'1000min anneal'!B3</f>
        <v>0.14785608674223755</v>
      </c>
      <c r="I44">
        <f>'1000min anneal'!C3</f>
        <v>0.73</v>
      </c>
    </row>
    <row r="45" spans="1:9" ht="12.75">
      <c r="A45">
        <f>'600min anneal'!A6</f>
        <v>100</v>
      </c>
      <c r="B45">
        <f>'600min anneal'!B6</f>
        <v>0.6880208333333333</v>
      </c>
      <c r="C45">
        <f>'600min anneal'!C6</f>
        <v>1.26</v>
      </c>
      <c r="G45">
        <f>'1000min anneal'!A4</f>
        <v>60</v>
      </c>
      <c r="H45">
        <f>'1000min anneal'!B4</f>
        <v>0.3676748582230624</v>
      </c>
      <c r="I45">
        <f>'1000min anneal'!C4</f>
        <v>0.87</v>
      </c>
    </row>
    <row r="46" spans="1:9" ht="12.75">
      <c r="A46">
        <f>'600min anneal'!A7</f>
        <v>150</v>
      </c>
      <c r="B46">
        <f>'600min anneal'!B7</f>
        <v>0.8008068582955119</v>
      </c>
      <c r="C46">
        <f>'600min anneal'!C7</f>
        <v>1.6500000000000001</v>
      </c>
      <c r="G46">
        <f>'1000min anneal'!A5</f>
        <v>80</v>
      </c>
      <c r="H46">
        <f>'1000min anneal'!B5</f>
        <v>0.5607385811467445</v>
      </c>
      <c r="I46">
        <f>'1000min anneal'!C5</f>
        <v>1.06</v>
      </c>
    </row>
    <row r="47" spans="1:9" ht="12.75">
      <c r="A47">
        <f>'600min anneal'!A8</f>
        <v>200</v>
      </c>
      <c r="B47">
        <f>'600min anneal'!B8</f>
        <v>0.924119241192412</v>
      </c>
      <c r="C47">
        <f>'600min anneal'!C8</f>
        <v>1.97</v>
      </c>
      <c r="G47">
        <f>'1000min anneal'!A6</f>
        <v>100</v>
      </c>
      <c r="H47">
        <f>'1000min anneal'!B6</f>
        <v>0.6682267290691628</v>
      </c>
      <c r="I47">
        <f>'1000min anneal'!C6</f>
        <v>1.24</v>
      </c>
    </row>
    <row r="48" spans="1:9" ht="12.75">
      <c r="A48">
        <f>'600min anneal'!A9</f>
        <v>250</v>
      </c>
      <c r="B48">
        <f>'600min anneal'!B9</f>
        <v>0.9277293695540748</v>
      </c>
      <c r="C48">
        <f>'600min anneal'!C9</f>
        <v>2.2299999999999995</v>
      </c>
      <c r="G48">
        <f>'1000min anneal'!A7</f>
        <v>150</v>
      </c>
      <c r="H48">
        <f>'1000min anneal'!B7</f>
        <v>0.7926587301587301</v>
      </c>
      <c r="I48">
        <f>'1000min anneal'!C7</f>
        <v>1.58</v>
      </c>
    </row>
    <row r="49" spans="7:9" ht="12.75">
      <c r="G49">
        <f>'1000min anneal'!A8</f>
        <v>200</v>
      </c>
      <c r="H49">
        <f>'1000min anneal'!B8</f>
        <v>0.8962739174219537</v>
      </c>
      <c r="I49">
        <f>'1000min anneal'!C8</f>
        <v>1.8900000000000001</v>
      </c>
    </row>
    <row r="50" spans="7:9" ht="12.75">
      <c r="G50">
        <f>'1000min anneal'!A9</f>
        <v>250</v>
      </c>
      <c r="H50">
        <f>'1000min anneal'!B9</f>
        <v>0.9246332827516439</v>
      </c>
      <c r="I50">
        <f>'1000min anneal'!C9</f>
        <v>2.159999999999999</v>
      </c>
    </row>
    <row r="51" spans="7:9" ht="12.75">
      <c r="G51">
        <f>'1000min anneal'!A10</f>
        <v>300</v>
      </c>
      <c r="H51">
        <f>'1000min anneal'!B10</f>
        <v>0</v>
      </c>
      <c r="I51">
        <f>'1000min anneal'!C10</f>
        <v>2.339999999999999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A89">
      <selection activeCell="G144" sqref="G144"/>
    </sheetView>
  </sheetViews>
  <sheetFormatPr defaultColWidth="9.140625" defaultRowHeight="12.75"/>
  <cols>
    <col min="1" max="1" width="10.57421875" style="0" customWidth="1"/>
  </cols>
  <sheetData>
    <row r="1" ht="12.75">
      <c r="A1" t="s">
        <v>81</v>
      </c>
    </row>
    <row r="2" spans="1:3" ht="12.75">
      <c r="A2" t="s">
        <v>69</v>
      </c>
      <c r="B2" t="s">
        <v>45</v>
      </c>
      <c r="C2" t="s">
        <v>62</v>
      </c>
    </row>
    <row r="3" spans="1:3" ht="12.75">
      <c r="A3">
        <v>40</v>
      </c>
      <c r="B3">
        <f>G19</f>
        <v>0.2110502737680438</v>
      </c>
      <c r="C3">
        <f>N19</f>
        <v>0.5700000000000001</v>
      </c>
    </row>
    <row r="4" spans="1:3" ht="12.75">
      <c r="A4">
        <v>60</v>
      </c>
      <c r="B4">
        <f>G30</f>
        <v>0.4212678936605317</v>
      </c>
      <c r="C4">
        <f>N33</f>
        <v>0.9</v>
      </c>
    </row>
    <row r="5" spans="1:3" ht="12.75">
      <c r="A5">
        <v>80</v>
      </c>
      <c r="B5">
        <f>G44</f>
        <v>0.607377463365336</v>
      </c>
      <c r="C5">
        <f>N45</f>
        <v>1.09</v>
      </c>
    </row>
    <row r="6" spans="1:3" ht="12.75">
      <c r="A6">
        <v>100</v>
      </c>
      <c r="B6">
        <f>G58</f>
        <v>0.6880208333333333</v>
      </c>
      <c r="C6">
        <f>N56</f>
        <v>1.26</v>
      </c>
    </row>
    <row r="7" spans="1:3" ht="12.75">
      <c r="A7">
        <v>150</v>
      </c>
      <c r="B7">
        <f>G77</f>
        <v>0.8008068582955119</v>
      </c>
      <c r="C7">
        <f>N79</f>
        <v>1.6500000000000001</v>
      </c>
    </row>
    <row r="8" spans="1:3" ht="12.75">
      <c r="A8">
        <v>200</v>
      </c>
      <c r="B8">
        <f>G93</f>
        <v>0.924119241192412</v>
      </c>
      <c r="C8">
        <f>N100</f>
        <v>1.97</v>
      </c>
    </row>
    <row r="9" spans="1:3" ht="12.75">
      <c r="A9">
        <v>250</v>
      </c>
      <c r="B9">
        <f>G110</f>
        <v>0.9277293695540748</v>
      </c>
      <c r="C9">
        <f>N113</f>
        <v>2.2299999999999995</v>
      </c>
    </row>
    <row r="14" ht="12.75">
      <c r="A14" t="s">
        <v>7</v>
      </c>
    </row>
    <row r="16" spans="1:7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</row>
    <row r="17" spans="1:15" ht="12.75">
      <c r="A17">
        <v>80</v>
      </c>
      <c r="B17">
        <f>(A17+13.5822)/115.6017</f>
        <v>0.8095226973305756</v>
      </c>
      <c r="C17">
        <v>16947</v>
      </c>
      <c r="D17">
        <v>1988</v>
      </c>
      <c r="E17">
        <v>174</v>
      </c>
      <c r="F17">
        <v>495</v>
      </c>
      <c r="G17">
        <f>(E17+F17)/(D17-14*2)</f>
        <v>0.3413265306122449</v>
      </c>
      <c r="N17">
        <v>0.55</v>
      </c>
      <c r="O17">
        <f>0.8558*N17^3-2.106*N17^2+0.9969*N17+0.4582</f>
        <v>0.5118137250000001</v>
      </c>
    </row>
    <row r="18" spans="1:15" ht="12.75">
      <c r="A18">
        <v>90</v>
      </c>
      <c r="B18">
        <f>(A18+13.5822)/115.6017</f>
        <v>0.8960266155255503</v>
      </c>
      <c r="C18">
        <v>12597</v>
      </c>
      <c r="D18">
        <v>2021</v>
      </c>
      <c r="E18">
        <v>130</v>
      </c>
      <c r="F18">
        <v>408</v>
      </c>
      <c r="G18">
        <f>(E18+F18)/(D18-14*2)</f>
        <v>0.2699448068238836</v>
      </c>
      <c r="N18">
        <f>N17+0.01</f>
        <v>0.56</v>
      </c>
      <c r="O18">
        <f>0.8558*N18^3-2.106*N18^2+0.9969*N18+0.4582</f>
        <v>0.5063145728</v>
      </c>
    </row>
    <row r="19" spans="1:15" ht="12.75">
      <c r="A19" s="1">
        <v>102</v>
      </c>
      <c r="B19">
        <f>(A19+13.5822)/115.6017</f>
        <v>0.9998313173595198</v>
      </c>
      <c r="C19" s="1">
        <v>9770</v>
      </c>
      <c r="D19" s="1">
        <v>2037</v>
      </c>
      <c r="E19" s="1">
        <v>120</v>
      </c>
      <c r="F19" s="1">
        <v>304</v>
      </c>
      <c r="G19">
        <f>(E19+F19)/(D19-14*2)</f>
        <v>0.2110502737680438</v>
      </c>
      <c r="N19" s="2">
        <f>N18+0.01</f>
        <v>0.5700000000000001</v>
      </c>
      <c r="O19" s="2">
        <f>0.8558*N19^3-2.106*N19^2+0.9969*N19+0.4582</f>
        <v>0.5006817694000001</v>
      </c>
    </row>
    <row r="20" spans="1:15" ht="12.75">
      <c r="A20">
        <v>120</v>
      </c>
      <c r="B20">
        <f>(A20+13.5822)/115.6017</f>
        <v>1.1555383701104742</v>
      </c>
      <c r="C20" s="1">
        <v>7267</v>
      </c>
      <c r="D20" s="1">
        <v>1968</v>
      </c>
      <c r="E20" s="1">
        <v>64</v>
      </c>
      <c r="F20" s="1">
        <v>162</v>
      </c>
      <c r="G20">
        <f>(E20+F20)/(D20-14*2)</f>
        <v>0.11649484536082474</v>
      </c>
      <c r="N20">
        <f>N19+0.01</f>
        <v>0.5800000000000001</v>
      </c>
      <c r="O20">
        <f>0.8558*N20^3-2.106*N20^2+0.9969*N20+0.4582</f>
        <v>0.4949204496</v>
      </c>
    </row>
    <row r="21" spans="1:15" ht="12.75">
      <c r="A21">
        <v>150</v>
      </c>
      <c r="B21">
        <f>(A21+13.5822)/115.6017</f>
        <v>1.4150501246953981</v>
      </c>
      <c r="C21" s="1">
        <v>4934</v>
      </c>
      <c r="D21" s="1">
        <v>2038</v>
      </c>
      <c r="E21" s="1">
        <v>59</v>
      </c>
      <c r="F21" s="1">
        <v>96</v>
      </c>
      <c r="G21">
        <f>(E21+F21)/(D21-14*2)</f>
        <v>0.07711442786069651</v>
      </c>
      <c r="N21">
        <f>N20+0.01</f>
        <v>0.5900000000000001</v>
      </c>
      <c r="O21">
        <f>0.8558*N21^3-2.106*N21^2+0.9969*N21+0.4582</f>
        <v>0.4890357482</v>
      </c>
    </row>
    <row r="25" spans="1:2" ht="12.75">
      <c r="A25" t="s">
        <v>9</v>
      </c>
      <c r="B25" t="s">
        <v>90</v>
      </c>
    </row>
    <row r="27" spans="1:7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</row>
    <row r="28" spans="1:15" ht="12.75">
      <c r="A28">
        <v>80</v>
      </c>
      <c r="B28">
        <f aca="true" t="shared" si="0" ref="B28:B33">(A28+13.5822)/115.6017</f>
        <v>0.8095226973305756</v>
      </c>
      <c r="C28">
        <v>22320</v>
      </c>
      <c r="D28">
        <v>2007</v>
      </c>
      <c r="E28">
        <v>309</v>
      </c>
      <c r="F28">
        <v>853</v>
      </c>
      <c r="G28">
        <f aca="true" t="shared" si="1" ref="G28:G33">(E28+F28)/(D28-14*2)</f>
        <v>0.5871652349671551</v>
      </c>
      <c r="N28">
        <v>0.85</v>
      </c>
      <c r="O28">
        <f aca="true" t="shared" si="2" ref="O28:O33">-1.2046*N28^3+4.8061*N28^2-6.7227*N28+3.5308</f>
        <v>0.5491372749999996</v>
      </c>
    </row>
    <row r="29" spans="1:15" ht="12.75">
      <c r="A29">
        <v>90</v>
      </c>
      <c r="B29">
        <f t="shared" si="0"/>
        <v>0.8960266155255503</v>
      </c>
      <c r="C29">
        <v>19257</v>
      </c>
      <c r="D29">
        <v>1977</v>
      </c>
      <c r="E29">
        <v>265</v>
      </c>
      <c r="F29">
        <v>739</v>
      </c>
      <c r="G29">
        <f t="shared" si="1"/>
        <v>0.5151359671626475</v>
      </c>
      <c r="N29">
        <f>N28+0.01</f>
        <v>0.86</v>
      </c>
      <c r="O29">
        <f t="shared" si="2"/>
        <v>0.5376765024000001</v>
      </c>
    </row>
    <row r="30" spans="1:15" ht="12.75">
      <c r="A30" s="1">
        <v>102</v>
      </c>
      <c r="B30">
        <f t="shared" si="0"/>
        <v>0.9998313173595198</v>
      </c>
      <c r="C30">
        <v>15964</v>
      </c>
      <c r="D30">
        <v>1984</v>
      </c>
      <c r="E30">
        <v>205</v>
      </c>
      <c r="F30">
        <v>619</v>
      </c>
      <c r="G30">
        <f t="shared" si="1"/>
        <v>0.4212678936605317</v>
      </c>
      <c r="N30">
        <f>N29+0.01</f>
        <v>0.87</v>
      </c>
      <c r="O30">
        <f t="shared" si="2"/>
        <v>0.5265553762000001</v>
      </c>
    </row>
    <row r="31" spans="1:15" ht="12.75">
      <c r="A31">
        <v>120</v>
      </c>
      <c r="B31">
        <f t="shared" si="0"/>
        <v>1.1555383701104742</v>
      </c>
      <c r="C31">
        <v>12524</v>
      </c>
      <c r="D31">
        <v>1997</v>
      </c>
      <c r="E31">
        <v>168</v>
      </c>
      <c r="F31">
        <v>415</v>
      </c>
      <c r="G31">
        <f t="shared" si="1"/>
        <v>0.29608938547486036</v>
      </c>
      <c r="N31">
        <f>N30+0.01</f>
        <v>0.88</v>
      </c>
      <c r="O31">
        <f t="shared" si="2"/>
        <v>0.5157666688000004</v>
      </c>
    </row>
    <row r="32" spans="1:15" ht="12.75">
      <c r="A32">
        <v>150</v>
      </c>
      <c r="B32">
        <f t="shared" si="0"/>
        <v>1.4150501246953981</v>
      </c>
      <c r="C32">
        <v>11798</v>
      </c>
      <c r="D32">
        <v>2068</v>
      </c>
      <c r="E32">
        <v>138</v>
      </c>
      <c r="F32">
        <v>353</v>
      </c>
      <c r="G32">
        <f t="shared" si="1"/>
        <v>0.24068627450980393</v>
      </c>
      <c r="N32">
        <f>N31+0.01</f>
        <v>0.89</v>
      </c>
      <c r="O32">
        <f t="shared" si="2"/>
        <v>0.5053031526000007</v>
      </c>
    </row>
    <row r="33" spans="1:15" ht="12.75">
      <c r="A33">
        <v>180</v>
      </c>
      <c r="B33">
        <f t="shared" si="0"/>
        <v>1.674561879280322</v>
      </c>
      <c r="C33">
        <v>5805</v>
      </c>
      <c r="D33">
        <v>1932</v>
      </c>
      <c r="E33">
        <v>56</v>
      </c>
      <c r="F33">
        <v>117</v>
      </c>
      <c r="G33">
        <f t="shared" si="1"/>
        <v>0.09086134453781512</v>
      </c>
      <c r="N33" s="2">
        <f>N32+0.01</f>
        <v>0.9</v>
      </c>
      <c r="O33" s="2">
        <f t="shared" si="2"/>
        <v>0.49515760000000064</v>
      </c>
    </row>
    <row r="39" spans="1:2" ht="12.75">
      <c r="A39" t="s">
        <v>11</v>
      </c>
      <c r="B39" t="s">
        <v>91</v>
      </c>
    </row>
    <row r="41" spans="1:15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N41">
        <v>1.05</v>
      </c>
      <c r="O41">
        <f>0.4361*N41^3-1.3719*N41^2+0.5977*N41+0.9175</f>
        <v>0.5374055125000001</v>
      </c>
    </row>
    <row r="42" spans="1:15" ht="12.75">
      <c r="A42">
        <v>80</v>
      </c>
      <c r="B42">
        <f aca="true" t="shared" si="3" ref="B42:B48">(A42+13.5822)/115.6017</f>
        <v>0.8095226973305756</v>
      </c>
      <c r="C42">
        <v>26946</v>
      </c>
      <c r="D42">
        <v>2020</v>
      </c>
      <c r="E42">
        <v>407</v>
      </c>
      <c r="F42">
        <v>1042</v>
      </c>
      <c r="G42">
        <f aca="true" t="shared" si="4" ref="G42:G48">(E42+F42)/(D42-14*2)</f>
        <v>0.7274096385542169</v>
      </c>
      <c r="N42">
        <f aca="true" t="shared" si="5" ref="N42:N48">N41+0.01</f>
        <v>1.06</v>
      </c>
      <c r="O42">
        <f aca="true" t="shared" si="6" ref="O42:O48">0.4361*N42^3-1.3719*N42^2+0.5977*N42+0.9175</f>
        <v>0.5289972376000002</v>
      </c>
    </row>
    <row r="43" spans="1:15" ht="12.75">
      <c r="A43">
        <v>90</v>
      </c>
      <c r="B43">
        <f t="shared" si="3"/>
        <v>0.8960266155255503</v>
      </c>
      <c r="C43">
        <v>24478</v>
      </c>
      <c r="D43">
        <v>1944</v>
      </c>
      <c r="E43">
        <v>358</v>
      </c>
      <c r="F43">
        <v>908</v>
      </c>
      <c r="G43">
        <f t="shared" si="4"/>
        <v>0.6607515657620042</v>
      </c>
      <c r="N43">
        <f t="shared" si="5"/>
        <v>1.07</v>
      </c>
      <c r="O43">
        <f t="shared" si="6"/>
        <v>0.5205919423000003</v>
      </c>
    </row>
    <row r="44" spans="1:15" ht="12.75">
      <c r="A44" s="1">
        <v>102</v>
      </c>
      <c r="B44">
        <f t="shared" si="3"/>
        <v>0.9998313173595198</v>
      </c>
      <c r="C44">
        <v>21401</v>
      </c>
      <c r="D44">
        <v>2007</v>
      </c>
      <c r="E44">
        <v>333</v>
      </c>
      <c r="F44">
        <v>869</v>
      </c>
      <c r="G44">
        <f t="shared" si="4"/>
        <v>0.607377463365336</v>
      </c>
      <c r="N44">
        <f t="shared" si="5"/>
        <v>1.08</v>
      </c>
      <c r="O44">
        <f t="shared" si="6"/>
        <v>0.5121922432000002</v>
      </c>
    </row>
    <row r="45" spans="1:15" ht="12.75">
      <c r="A45">
        <v>120</v>
      </c>
      <c r="B45">
        <f t="shared" si="3"/>
        <v>1.1555383701104742</v>
      </c>
      <c r="C45">
        <v>17250</v>
      </c>
      <c r="D45">
        <v>1989</v>
      </c>
      <c r="E45">
        <v>238</v>
      </c>
      <c r="F45">
        <v>614</v>
      </c>
      <c r="G45">
        <f t="shared" si="4"/>
        <v>0.43447220805711373</v>
      </c>
      <c r="N45" s="2">
        <f t="shared" si="5"/>
        <v>1.09</v>
      </c>
      <c r="O45" s="2">
        <f t="shared" si="6"/>
        <v>0.5038007568999998</v>
      </c>
    </row>
    <row r="46" spans="1:15" ht="12.75">
      <c r="A46">
        <v>150</v>
      </c>
      <c r="B46">
        <f>(A46+13.5822)/115.6017</f>
        <v>1.4150501246953981</v>
      </c>
      <c r="C46">
        <v>11798</v>
      </c>
      <c r="D46">
        <v>2068</v>
      </c>
      <c r="E46">
        <v>138</v>
      </c>
      <c r="F46">
        <v>353</v>
      </c>
      <c r="G46">
        <f t="shared" si="4"/>
        <v>0.24068627450980393</v>
      </c>
      <c r="N46">
        <f t="shared" si="5"/>
        <v>1.1</v>
      </c>
      <c r="O46">
        <f t="shared" si="6"/>
        <v>0.49542010000000014</v>
      </c>
    </row>
    <row r="47" spans="1:15" ht="12.75">
      <c r="A47">
        <v>180</v>
      </c>
      <c r="B47">
        <f t="shared" si="3"/>
        <v>1.674561879280322</v>
      </c>
      <c r="C47">
        <v>8379</v>
      </c>
      <c r="D47">
        <v>1992</v>
      </c>
      <c r="E47">
        <v>87</v>
      </c>
      <c r="F47">
        <v>174</v>
      </c>
      <c r="G47">
        <f t="shared" si="4"/>
        <v>0.13289205702647658</v>
      </c>
      <c r="N47">
        <f t="shared" si="5"/>
        <v>1.11</v>
      </c>
      <c r="O47">
        <f t="shared" si="6"/>
        <v>0.4870528891000001</v>
      </c>
    </row>
    <row r="48" spans="1:15" ht="12.75">
      <c r="A48">
        <v>210</v>
      </c>
      <c r="B48">
        <f t="shared" si="3"/>
        <v>1.934073633865246</v>
      </c>
      <c r="C48">
        <v>6311</v>
      </c>
      <c r="D48">
        <v>2087</v>
      </c>
      <c r="E48">
        <v>55</v>
      </c>
      <c r="F48">
        <v>136</v>
      </c>
      <c r="G48">
        <f t="shared" si="4"/>
        <v>0.09276347741622147</v>
      </c>
      <c r="N48">
        <f t="shared" si="5"/>
        <v>1.12</v>
      </c>
      <c r="O48">
        <f t="shared" si="6"/>
        <v>0.47870174080000005</v>
      </c>
    </row>
    <row r="53" spans="1:2" ht="12.75">
      <c r="A53" t="s">
        <v>13</v>
      </c>
      <c r="B53" t="s">
        <v>92</v>
      </c>
    </row>
    <row r="55" spans="1:15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N55">
        <v>1.25</v>
      </c>
      <c r="O55">
        <f>0.5448*N55^3-2.1021*N55^2+1.9422*N55+0.3008</f>
        <v>0.5080812499999998</v>
      </c>
    </row>
    <row r="56" spans="1:15" ht="12.75">
      <c r="A56">
        <v>80</v>
      </c>
      <c r="B56">
        <f aca="true" t="shared" si="7" ref="B56:B63">(A56+13.5822)/115.6017</f>
        <v>0.8095226973305756</v>
      </c>
      <c r="C56">
        <v>31256</v>
      </c>
      <c r="D56">
        <v>1973</v>
      </c>
      <c r="E56">
        <v>437</v>
      </c>
      <c r="F56">
        <v>1107</v>
      </c>
      <c r="G56">
        <f>(E56+F56)/(D56-14*2)</f>
        <v>0.7938303341902314</v>
      </c>
      <c r="N56" s="2">
        <f aca="true" t="shared" si="8" ref="N56:N62">N55+0.01</f>
        <v>1.26</v>
      </c>
      <c r="O56" s="2">
        <f aca="true" t="shared" si="9" ref="O56:O62">0.5448*N56^3-2.1021*N56^2+1.9422*N56+0.3008</f>
        <v>0.5004828847999996</v>
      </c>
    </row>
    <row r="57" spans="1:15" ht="12.75">
      <c r="A57">
        <v>90</v>
      </c>
      <c r="B57">
        <f t="shared" si="7"/>
        <v>0.8960266155255503</v>
      </c>
      <c r="C57">
        <v>28180</v>
      </c>
      <c r="D57">
        <v>2043</v>
      </c>
      <c r="E57">
        <v>415</v>
      </c>
      <c r="F57">
        <v>1050</v>
      </c>
      <c r="G57">
        <f aca="true" t="shared" si="10" ref="G57:G63">(E57+F57)/(D57-14*2)</f>
        <v>0.7270471464019851</v>
      </c>
      <c r="N57">
        <f t="shared" si="8"/>
        <v>1.27</v>
      </c>
      <c r="O57">
        <f t="shared" si="9"/>
        <v>0.4928759683999993</v>
      </c>
    </row>
    <row r="58" spans="1:15" ht="12.75">
      <c r="A58">
        <v>102</v>
      </c>
      <c r="B58">
        <f t="shared" si="7"/>
        <v>0.9998313173595198</v>
      </c>
      <c r="C58">
        <v>25483</v>
      </c>
      <c r="D58">
        <v>1948</v>
      </c>
      <c r="E58">
        <v>381</v>
      </c>
      <c r="F58">
        <v>940</v>
      </c>
      <c r="G58">
        <f t="shared" si="10"/>
        <v>0.6880208333333333</v>
      </c>
      <c r="N58">
        <f t="shared" si="8"/>
        <v>1.28</v>
      </c>
      <c r="O58">
        <f t="shared" si="9"/>
        <v>0.4852637695999998</v>
      </c>
    </row>
    <row r="59" spans="1:15" ht="12.75">
      <c r="A59">
        <v>120</v>
      </c>
      <c r="B59">
        <f t="shared" si="7"/>
        <v>1.1555383701104742</v>
      </c>
      <c r="C59">
        <v>21523</v>
      </c>
      <c r="D59">
        <v>2019</v>
      </c>
      <c r="E59">
        <v>340</v>
      </c>
      <c r="F59">
        <v>831</v>
      </c>
      <c r="G59">
        <f t="shared" si="10"/>
        <v>0.5881466599698644</v>
      </c>
      <c r="N59">
        <f t="shared" si="8"/>
        <v>1.29</v>
      </c>
      <c r="O59">
        <f t="shared" si="9"/>
        <v>0.47764955719999974</v>
      </c>
    </row>
    <row r="60" spans="1:15" ht="12.75">
      <c r="A60">
        <v>135</v>
      </c>
      <c r="B60">
        <f t="shared" si="7"/>
        <v>1.2852942474029363</v>
      </c>
      <c r="C60">
        <v>17992</v>
      </c>
      <c r="D60">
        <v>1941</v>
      </c>
      <c r="E60">
        <v>276</v>
      </c>
      <c r="F60">
        <v>682</v>
      </c>
      <c r="G60">
        <f t="shared" si="10"/>
        <v>0.5007841087297439</v>
      </c>
      <c r="N60">
        <f t="shared" si="8"/>
        <v>1.3</v>
      </c>
      <c r="O60">
        <f t="shared" si="9"/>
        <v>0.47003659999999964</v>
      </c>
    </row>
    <row r="61" spans="1:15" ht="12.75">
      <c r="A61">
        <v>150</v>
      </c>
      <c r="B61">
        <f t="shared" si="7"/>
        <v>1.4150501246953981</v>
      </c>
      <c r="C61">
        <v>15557</v>
      </c>
      <c r="D61">
        <v>2043</v>
      </c>
      <c r="E61">
        <v>198</v>
      </c>
      <c r="F61">
        <v>510</v>
      </c>
      <c r="G61">
        <f t="shared" si="10"/>
        <v>0.35136476426799007</v>
      </c>
      <c r="N61">
        <f t="shared" si="8"/>
        <v>1.31</v>
      </c>
      <c r="O61">
        <f t="shared" si="9"/>
        <v>0.4624281667999995</v>
      </c>
    </row>
    <row r="62" spans="1:15" ht="12.75">
      <c r="A62">
        <v>180</v>
      </c>
      <c r="B62">
        <f t="shared" si="7"/>
        <v>1.674561879280322</v>
      </c>
      <c r="C62">
        <v>11513</v>
      </c>
      <c r="D62">
        <v>2028</v>
      </c>
      <c r="E62">
        <v>136</v>
      </c>
      <c r="F62">
        <v>323</v>
      </c>
      <c r="G62">
        <f t="shared" si="10"/>
        <v>0.2295</v>
      </c>
      <c r="N62">
        <f t="shared" si="8"/>
        <v>1.32</v>
      </c>
      <c r="O62">
        <f t="shared" si="9"/>
        <v>0.45482752639999974</v>
      </c>
    </row>
    <row r="63" spans="1:7" ht="12.75">
      <c r="A63">
        <v>210</v>
      </c>
      <c r="B63">
        <f t="shared" si="7"/>
        <v>1.934073633865246</v>
      </c>
      <c r="C63">
        <v>8410</v>
      </c>
      <c r="D63">
        <v>1962</v>
      </c>
      <c r="E63">
        <v>83</v>
      </c>
      <c r="F63">
        <v>174</v>
      </c>
      <c r="G63">
        <f t="shared" si="10"/>
        <v>0.1328852119958635</v>
      </c>
    </row>
    <row r="64" spans="1:2" ht="12.75">
      <c r="A64">
        <v>240</v>
      </c>
      <c r="B64">
        <f>(A64+13.5822)/115.6017</f>
        <v>2.19358538845017</v>
      </c>
    </row>
    <row r="72" spans="1:4" ht="12.75">
      <c r="A72" t="s">
        <v>17</v>
      </c>
      <c r="B72" t="s">
        <v>93</v>
      </c>
      <c r="C72" s="3"/>
      <c r="D72" s="3"/>
    </row>
    <row r="74" spans="1:15" ht="12.75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N74">
        <v>1.6</v>
      </c>
      <c r="O74">
        <f>0.1885*N74^3-0.8997*N74^2+0.8648*N74+0.6744</f>
        <v>0.526944</v>
      </c>
    </row>
    <row r="75" spans="1:15" ht="12.75">
      <c r="A75">
        <v>80</v>
      </c>
      <c r="B75">
        <f aca="true" t="shared" si="11" ref="B75:B84">(A75+13.5822)/115.6017</f>
        <v>0.8095226973305756</v>
      </c>
      <c r="C75">
        <v>40876</v>
      </c>
      <c r="D75">
        <v>2011</v>
      </c>
      <c r="E75">
        <v>540</v>
      </c>
      <c r="F75">
        <v>1237</v>
      </c>
      <c r="G75">
        <f aca="true" t="shared" si="12" ref="G75:G83">(E75+F75)/(D75-14*2)</f>
        <v>0.8961169944528492</v>
      </c>
      <c r="N75">
        <f aca="true" t="shared" si="13" ref="N75:N82">N74+0.01</f>
        <v>1.61</v>
      </c>
      <c r="O75">
        <f aca="true" t="shared" si="14" ref="O75:O82">0.1885*N75^3-0.8997*N75^2+0.8648*N75+0.6744</f>
        <v>0.5212790984999999</v>
      </c>
    </row>
    <row r="76" spans="1:15" ht="12.75">
      <c r="A76">
        <v>90</v>
      </c>
      <c r="B76">
        <f t="shared" si="11"/>
        <v>0.8960266155255503</v>
      </c>
      <c r="C76">
        <v>37066</v>
      </c>
      <c r="D76">
        <v>1912</v>
      </c>
      <c r="E76">
        <v>496</v>
      </c>
      <c r="F76">
        <v>1128</v>
      </c>
      <c r="G76">
        <f t="shared" si="12"/>
        <v>0.861995753715499</v>
      </c>
      <c r="N76">
        <f t="shared" si="13"/>
        <v>1.62</v>
      </c>
      <c r="O76">
        <f t="shared" si="14"/>
        <v>0.5156163479999999</v>
      </c>
    </row>
    <row r="77" spans="1:15" ht="12.75">
      <c r="A77">
        <v>102</v>
      </c>
      <c r="B77">
        <f t="shared" si="11"/>
        <v>0.9998313173595198</v>
      </c>
      <c r="C77">
        <v>34261</v>
      </c>
      <c r="D77">
        <v>2011</v>
      </c>
      <c r="E77">
        <v>462</v>
      </c>
      <c r="F77">
        <v>1126</v>
      </c>
      <c r="G77">
        <f t="shared" si="12"/>
        <v>0.8008068582955119</v>
      </c>
      <c r="N77">
        <f t="shared" si="13"/>
        <v>1.6300000000000001</v>
      </c>
      <c r="O77">
        <f t="shared" si="14"/>
        <v>0.5099568794999997</v>
      </c>
    </row>
    <row r="78" spans="1:15" ht="12.75">
      <c r="A78">
        <v>120</v>
      </c>
      <c r="B78">
        <f t="shared" si="11"/>
        <v>1.1555383701104742</v>
      </c>
      <c r="C78">
        <v>30043</v>
      </c>
      <c r="D78">
        <v>1954</v>
      </c>
      <c r="E78">
        <v>445</v>
      </c>
      <c r="F78">
        <v>1051</v>
      </c>
      <c r="G78">
        <f t="shared" si="12"/>
        <v>0.7767393561786086</v>
      </c>
      <c r="N78">
        <f t="shared" si="13"/>
        <v>1.6400000000000001</v>
      </c>
      <c r="O78">
        <f t="shared" si="14"/>
        <v>0.5043018239999996</v>
      </c>
    </row>
    <row r="79" spans="1:15" ht="12.75">
      <c r="A79">
        <v>150</v>
      </c>
      <c r="B79">
        <f t="shared" si="11"/>
        <v>1.4150501246953981</v>
      </c>
      <c r="C79">
        <v>24172</v>
      </c>
      <c r="D79">
        <v>1972</v>
      </c>
      <c r="E79">
        <v>358</v>
      </c>
      <c r="F79">
        <v>879</v>
      </c>
      <c r="G79">
        <f t="shared" si="12"/>
        <v>0.6363168724279835</v>
      </c>
      <c r="N79" s="2">
        <f t="shared" si="13"/>
        <v>1.6500000000000001</v>
      </c>
      <c r="O79" s="2">
        <f t="shared" si="14"/>
        <v>0.49865231249999986</v>
      </c>
    </row>
    <row r="80" spans="1:15" ht="12.75">
      <c r="A80">
        <v>180</v>
      </c>
      <c r="B80">
        <f t="shared" si="11"/>
        <v>1.674561879280322</v>
      </c>
      <c r="C80">
        <v>19372</v>
      </c>
      <c r="D80">
        <v>1905</v>
      </c>
      <c r="E80">
        <v>276</v>
      </c>
      <c r="F80">
        <v>642</v>
      </c>
      <c r="G80">
        <f t="shared" si="12"/>
        <v>0.48907831646244004</v>
      </c>
      <c r="N80">
        <f t="shared" si="13"/>
        <v>1.6600000000000001</v>
      </c>
      <c r="O80">
        <f t="shared" si="14"/>
        <v>0.493009476</v>
      </c>
    </row>
    <row r="81" spans="1:15" ht="12.75">
      <c r="A81">
        <v>210</v>
      </c>
      <c r="B81">
        <f t="shared" si="11"/>
        <v>1.934073633865246</v>
      </c>
      <c r="C81">
        <v>15248</v>
      </c>
      <c r="D81">
        <v>2010</v>
      </c>
      <c r="E81">
        <v>186</v>
      </c>
      <c r="F81">
        <v>481</v>
      </c>
      <c r="G81">
        <f t="shared" si="12"/>
        <v>0.3365287588294652</v>
      </c>
      <c r="N81">
        <f t="shared" si="13"/>
        <v>1.6700000000000002</v>
      </c>
      <c r="O81">
        <f t="shared" si="14"/>
        <v>0.48737444549999986</v>
      </c>
    </row>
    <row r="82" spans="1:15" ht="12.75">
      <c r="A82">
        <v>240</v>
      </c>
      <c r="B82">
        <f t="shared" si="11"/>
        <v>2.19358538845017</v>
      </c>
      <c r="C82">
        <v>12067</v>
      </c>
      <c r="D82">
        <v>2014</v>
      </c>
      <c r="E82">
        <v>135</v>
      </c>
      <c r="F82">
        <v>328</v>
      </c>
      <c r="G82">
        <f t="shared" si="12"/>
        <v>0.23313192346424974</v>
      </c>
      <c r="N82">
        <f t="shared" si="13"/>
        <v>1.6800000000000002</v>
      </c>
      <c r="O82">
        <f t="shared" si="14"/>
        <v>0.48174835199999977</v>
      </c>
    </row>
    <row r="83" spans="1:7" ht="12.75">
      <c r="A83">
        <v>270</v>
      </c>
      <c r="B83">
        <f t="shared" si="11"/>
        <v>2.453097143035094</v>
      </c>
      <c r="C83">
        <v>9175</v>
      </c>
      <c r="D83">
        <v>1906</v>
      </c>
      <c r="E83">
        <v>109</v>
      </c>
      <c r="F83">
        <v>202</v>
      </c>
      <c r="G83">
        <f t="shared" si="12"/>
        <v>0.16560170394036208</v>
      </c>
    </row>
    <row r="84" spans="1:2" ht="12.75">
      <c r="A84">
        <v>300</v>
      </c>
      <c r="B84">
        <f t="shared" si="11"/>
        <v>2.712608897620018</v>
      </c>
    </row>
    <row r="90" spans="1:4" ht="12.75">
      <c r="A90" t="s">
        <v>16</v>
      </c>
      <c r="B90" t="s">
        <v>94</v>
      </c>
      <c r="C90" s="3"/>
      <c r="D90" s="3"/>
    </row>
    <row r="92" spans="1:7" ht="12.75">
      <c r="A92" t="s">
        <v>0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</row>
    <row r="93" spans="1:15" ht="12.75">
      <c r="A93">
        <v>102</v>
      </c>
      <c r="B93">
        <f aca="true" t="shared" si="15" ref="B93:B100">(A93+13.5822)/115.6017</f>
        <v>0.9998313173595198</v>
      </c>
      <c r="C93">
        <v>374765</v>
      </c>
      <c r="D93">
        <v>1873</v>
      </c>
      <c r="E93">
        <v>543</v>
      </c>
      <c r="F93">
        <v>1162</v>
      </c>
      <c r="G93">
        <f>(E93+F93)/(D93-14*2)</f>
        <v>0.924119241192412</v>
      </c>
      <c r="N93">
        <v>1.9</v>
      </c>
      <c r="O93">
        <f>0.1167*N93^3-0.6464*N93^2+0.6823*N93+0.7709</f>
        <v>0.5342112999999998</v>
      </c>
    </row>
    <row r="94" spans="1:15" ht="12.75">
      <c r="A94">
        <v>150</v>
      </c>
      <c r="B94">
        <f t="shared" si="15"/>
        <v>1.4150501246953981</v>
      </c>
      <c r="C94">
        <v>65971</v>
      </c>
      <c r="D94">
        <v>1895</v>
      </c>
      <c r="E94">
        <v>469</v>
      </c>
      <c r="F94">
        <v>961</v>
      </c>
      <c r="G94">
        <f>(E94+F94)/(D94-14*2)</f>
        <v>0.7659346545259775</v>
      </c>
      <c r="N94">
        <f aca="true" t="shared" si="16" ref="N94:N100">N93+0.01</f>
        <v>1.91</v>
      </c>
      <c r="O94">
        <f aca="true" t="shared" si="17" ref="O94:O100">0.1167*N94^3-0.6464*N94^2+0.6823*N94+0.7709</f>
        <v>0.5291117057000002</v>
      </c>
    </row>
    <row r="95" spans="1:15" ht="12.75">
      <c r="A95">
        <v>180</v>
      </c>
      <c r="B95">
        <f t="shared" si="15"/>
        <v>1.674561879280322</v>
      </c>
      <c r="C95">
        <v>166524</v>
      </c>
      <c r="D95">
        <v>1918</v>
      </c>
      <c r="E95">
        <v>366</v>
      </c>
      <c r="F95">
        <v>875</v>
      </c>
      <c r="G95">
        <f aca="true" t="shared" si="18" ref="G95:G100">(E95+F95)/(D95-14*2)</f>
        <v>0.6566137566137566</v>
      </c>
      <c r="N95">
        <f t="shared" si="16"/>
        <v>1.92</v>
      </c>
      <c r="O95">
        <f t="shared" si="17"/>
        <v>0.5240165696000002</v>
      </c>
    </row>
    <row r="96" spans="1:15" ht="12.75">
      <c r="A96">
        <v>210</v>
      </c>
      <c r="B96">
        <f t="shared" si="15"/>
        <v>1.934073633865246</v>
      </c>
      <c r="C96">
        <v>109210</v>
      </c>
      <c r="D96">
        <v>1930</v>
      </c>
      <c r="E96">
        <v>284</v>
      </c>
      <c r="F96">
        <v>720</v>
      </c>
      <c r="G96">
        <f t="shared" si="18"/>
        <v>0.5278654048370137</v>
      </c>
      <c r="N96">
        <f t="shared" si="16"/>
        <v>1.93</v>
      </c>
      <c r="O96">
        <f t="shared" si="17"/>
        <v>0.5189265919</v>
      </c>
    </row>
    <row r="97" spans="1:15" ht="12.75">
      <c r="A97">
        <v>240</v>
      </c>
      <c r="B97">
        <f t="shared" si="15"/>
        <v>2.19358538845017</v>
      </c>
      <c r="C97">
        <v>45253</v>
      </c>
      <c r="D97">
        <v>1926</v>
      </c>
      <c r="E97">
        <v>202</v>
      </c>
      <c r="F97">
        <v>506</v>
      </c>
      <c r="G97">
        <f t="shared" si="18"/>
        <v>0.37302423603793466</v>
      </c>
      <c r="N97">
        <f t="shared" si="16"/>
        <v>1.94</v>
      </c>
      <c r="O97">
        <f t="shared" si="17"/>
        <v>0.5138424728000001</v>
      </c>
    </row>
    <row r="98" spans="1:15" ht="12.75">
      <c r="A98">
        <v>270</v>
      </c>
      <c r="B98">
        <f t="shared" si="15"/>
        <v>2.453097143035094</v>
      </c>
      <c r="C98">
        <v>52232</v>
      </c>
      <c r="D98">
        <v>1935</v>
      </c>
      <c r="E98">
        <v>143</v>
      </c>
      <c r="F98">
        <v>364</v>
      </c>
      <c r="G98">
        <f t="shared" si="18"/>
        <v>0.2658626114315679</v>
      </c>
      <c r="N98">
        <f t="shared" si="16"/>
        <v>1.95</v>
      </c>
      <c r="O98">
        <f t="shared" si="17"/>
        <v>0.5087649125000001</v>
      </c>
    </row>
    <row r="99" spans="1:15" ht="12.75">
      <c r="A99">
        <v>300</v>
      </c>
      <c r="B99">
        <f t="shared" si="15"/>
        <v>2.712608897620018</v>
      </c>
      <c r="C99">
        <v>37322</v>
      </c>
      <c r="D99">
        <v>2025</v>
      </c>
      <c r="E99">
        <v>128</v>
      </c>
      <c r="F99">
        <v>305</v>
      </c>
      <c r="G99">
        <f t="shared" si="18"/>
        <v>0.21682523785678517</v>
      </c>
      <c r="N99">
        <f t="shared" si="16"/>
        <v>1.96</v>
      </c>
      <c r="O99">
        <f t="shared" si="17"/>
        <v>0.5036946112000004</v>
      </c>
    </row>
    <row r="100" spans="1:15" ht="12.75">
      <c r="A100">
        <v>330</v>
      </c>
      <c r="B100">
        <f t="shared" si="15"/>
        <v>2.972120652204942</v>
      </c>
      <c r="C100">
        <v>32758</v>
      </c>
      <c r="D100">
        <v>1993</v>
      </c>
      <c r="E100">
        <v>86</v>
      </c>
      <c r="F100">
        <v>197</v>
      </c>
      <c r="G100">
        <f t="shared" si="18"/>
        <v>0.1440203562340967</v>
      </c>
      <c r="N100" s="2">
        <f t="shared" si="16"/>
        <v>1.97</v>
      </c>
      <c r="O100" s="2">
        <f t="shared" si="17"/>
        <v>0.49863226910000014</v>
      </c>
    </row>
    <row r="107" spans="1:4" ht="12.75">
      <c r="A107" t="s">
        <v>18</v>
      </c>
      <c r="B107" t="s">
        <v>95</v>
      </c>
      <c r="C107" s="3"/>
      <c r="D107" s="3"/>
    </row>
    <row r="109" spans="1:7" ht="12.75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</row>
    <row r="110" spans="1:15" ht="12.75">
      <c r="A110">
        <v>102</v>
      </c>
      <c r="B110">
        <f aca="true" t="shared" si="19" ref="B110:B117">(A110+13.5822)/115.6017</f>
        <v>0.9998313173595198</v>
      </c>
      <c r="C110">
        <v>610725</v>
      </c>
      <c r="D110">
        <v>1979</v>
      </c>
      <c r="E110">
        <v>577</v>
      </c>
      <c r="F110">
        <v>1233</v>
      </c>
      <c r="G110">
        <f aca="true" t="shared" si="20" ref="G110:G117">(E110+F110)/(D110-14*2)</f>
        <v>0.9277293695540748</v>
      </c>
      <c r="N110">
        <v>2.2</v>
      </c>
      <c r="O110">
        <f>0.0629*N110^3-0.3908*N110^2+0.3978*N110+0.857</f>
        <v>0.5104471999999999</v>
      </c>
    </row>
    <row r="111" spans="1:15" ht="12.75">
      <c r="A111">
        <v>180</v>
      </c>
      <c r="B111">
        <f t="shared" si="19"/>
        <v>1.674561879280322</v>
      </c>
      <c r="C111">
        <v>183305</v>
      </c>
      <c r="D111">
        <v>2045</v>
      </c>
      <c r="E111">
        <v>428</v>
      </c>
      <c r="F111">
        <v>1030</v>
      </c>
      <c r="G111">
        <f t="shared" si="20"/>
        <v>0.7228557263262271</v>
      </c>
      <c r="N111">
        <f aca="true" t="shared" si="21" ref="N111:N117">N110+0.01</f>
        <v>2.21</v>
      </c>
      <c r="O111">
        <f aca="true" t="shared" si="22" ref="O111:O117">0.0629*N111^3-0.3908*N111^2+0.3978*N111+0.857</f>
        <v>0.5063655769</v>
      </c>
    </row>
    <row r="112" spans="1:15" ht="12.75">
      <c r="A112">
        <v>210</v>
      </c>
      <c r="B112">
        <f t="shared" si="19"/>
        <v>1.934073633865246</v>
      </c>
      <c r="C112">
        <v>183647</v>
      </c>
      <c r="D112">
        <v>1844</v>
      </c>
      <c r="E112">
        <v>329</v>
      </c>
      <c r="F112">
        <v>773</v>
      </c>
      <c r="G112">
        <f t="shared" si="20"/>
        <v>0.6068281938325991</v>
      </c>
      <c r="N112">
        <f t="shared" si="21"/>
        <v>2.2199999999999998</v>
      </c>
      <c r="O112">
        <f t="shared" si="22"/>
        <v>0.5022891992000001</v>
      </c>
    </row>
    <row r="113" spans="1:15" ht="12.75">
      <c r="A113">
        <v>240</v>
      </c>
      <c r="B113">
        <f t="shared" si="19"/>
        <v>2.19358538845017</v>
      </c>
      <c r="C113">
        <v>125665</v>
      </c>
      <c r="D113">
        <v>1934</v>
      </c>
      <c r="E113">
        <v>304</v>
      </c>
      <c r="F113">
        <v>707</v>
      </c>
      <c r="G113">
        <f t="shared" si="20"/>
        <v>0.5304302203567681</v>
      </c>
      <c r="N113" s="2">
        <f t="shared" si="21"/>
        <v>2.2299999999999995</v>
      </c>
      <c r="O113" s="2">
        <f t="shared" si="22"/>
        <v>0.4982184443000002</v>
      </c>
    </row>
    <row r="114" spans="1:15" ht="12.75">
      <c r="A114">
        <v>270</v>
      </c>
      <c r="B114">
        <f t="shared" si="19"/>
        <v>2.453097143035094</v>
      </c>
      <c r="C114">
        <v>97353</v>
      </c>
      <c r="D114">
        <v>1970</v>
      </c>
      <c r="E114">
        <v>251</v>
      </c>
      <c r="F114">
        <v>550</v>
      </c>
      <c r="G114">
        <f t="shared" si="20"/>
        <v>0.41246138002059735</v>
      </c>
      <c r="N114">
        <f t="shared" si="21"/>
        <v>2.2399999999999993</v>
      </c>
      <c r="O114">
        <f t="shared" si="22"/>
        <v>0.4941536896000004</v>
      </c>
    </row>
    <row r="115" spans="1:15" ht="12.75">
      <c r="A115">
        <v>300</v>
      </c>
      <c r="B115">
        <f t="shared" si="19"/>
        <v>2.712608897620018</v>
      </c>
      <c r="C115">
        <v>85654</v>
      </c>
      <c r="D115">
        <v>1989</v>
      </c>
      <c r="E115">
        <v>182</v>
      </c>
      <c r="F115">
        <v>417</v>
      </c>
      <c r="G115">
        <f t="shared" si="20"/>
        <v>0.30545639979602246</v>
      </c>
      <c r="N115">
        <f t="shared" si="21"/>
        <v>2.249999999999999</v>
      </c>
      <c r="O115">
        <f t="shared" si="22"/>
        <v>0.49009531250000016</v>
      </c>
    </row>
    <row r="116" spans="1:15" ht="12.75">
      <c r="A116">
        <v>330</v>
      </c>
      <c r="B116">
        <f t="shared" si="19"/>
        <v>2.972120652204942</v>
      </c>
      <c r="C116">
        <v>165824</v>
      </c>
      <c r="D116">
        <v>1973</v>
      </c>
      <c r="E116">
        <v>144</v>
      </c>
      <c r="F116">
        <v>320</v>
      </c>
      <c r="G116">
        <f t="shared" si="20"/>
        <v>0.238560411311054</v>
      </c>
      <c r="N116">
        <f t="shared" si="21"/>
        <v>2.259999999999999</v>
      </c>
      <c r="O116">
        <f t="shared" si="22"/>
        <v>0.4860436904000003</v>
      </c>
    </row>
    <row r="117" spans="1:15" ht="12.75">
      <c r="A117">
        <v>360</v>
      </c>
      <c r="B117">
        <f t="shared" si="19"/>
        <v>3.2316324067898656</v>
      </c>
      <c r="C117">
        <v>169713</v>
      </c>
      <c r="D117">
        <v>1931</v>
      </c>
      <c r="E117">
        <v>116</v>
      </c>
      <c r="F117">
        <v>238</v>
      </c>
      <c r="G117">
        <f t="shared" si="20"/>
        <v>0.186022070415134</v>
      </c>
      <c r="N117">
        <f t="shared" si="21"/>
        <v>2.2699999999999987</v>
      </c>
      <c r="O117">
        <f t="shared" si="22"/>
        <v>0.48199920070000035</v>
      </c>
    </row>
    <row r="123" ht="12.75">
      <c r="A123" t="s">
        <v>19</v>
      </c>
    </row>
    <row r="125" spans="1:7" ht="12.7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</row>
    <row r="126" spans="1:2" ht="12.75">
      <c r="A126">
        <v>102</v>
      </c>
      <c r="B126">
        <f aca="true" t="shared" si="23" ref="B126:B133">(A126+13.5822)/115.6017</f>
        <v>0.9998313173595198</v>
      </c>
    </row>
    <row r="127" spans="1:2" ht="12.75">
      <c r="A127">
        <v>210</v>
      </c>
      <c r="B127">
        <f t="shared" si="23"/>
        <v>1.934073633865246</v>
      </c>
    </row>
    <row r="128" spans="1:2" ht="12.75">
      <c r="A128">
        <v>240</v>
      </c>
      <c r="B128">
        <f t="shared" si="23"/>
        <v>2.19358538845017</v>
      </c>
    </row>
    <row r="129" spans="1:2" ht="12.75">
      <c r="A129">
        <v>270</v>
      </c>
      <c r="B129">
        <f t="shared" si="23"/>
        <v>2.453097143035094</v>
      </c>
    </row>
    <row r="130" spans="1:2" ht="12.75">
      <c r="A130">
        <v>300</v>
      </c>
      <c r="B130">
        <f t="shared" si="23"/>
        <v>2.712608897620018</v>
      </c>
    </row>
    <row r="131" spans="1:2" ht="12.75">
      <c r="A131">
        <v>330</v>
      </c>
      <c r="B131">
        <f t="shared" si="23"/>
        <v>2.972120652204942</v>
      </c>
    </row>
    <row r="132" spans="1:2" ht="12.75">
      <c r="A132">
        <v>360</v>
      </c>
      <c r="B132">
        <f t="shared" si="23"/>
        <v>3.2316324067898656</v>
      </c>
    </row>
    <row r="133" spans="1:2" ht="12.75">
      <c r="A133">
        <v>390</v>
      </c>
      <c r="B133">
        <f t="shared" si="23"/>
        <v>3.49114416137479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21">
      <selection activeCell="A1" sqref="A1:H131"/>
    </sheetView>
  </sheetViews>
  <sheetFormatPr defaultColWidth="9.140625" defaultRowHeight="12.75"/>
  <cols>
    <col min="1" max="1" width="10.421875" style="0" customWidth="1"/>
    <col min="7" max="7" width="9.28125" style="0" customWidth="1"/>
  </cols>
  <sheetData>
    <row r="1" ht="12.75">
      <c r="A1" t="s">
        <v>81</v>
      </c>
    </row>
    <row r="2" spans="1:3" ht="12.75">
      <c r="A2" t="s">
        <v>69</v>
      </c>
      <c r="B2" t="s">
        <v>45</v>
      </c>
      <c r="C2" t="s">
        <v>62</v>
      </c>
    </row>
    <row r="3" spans="1:3" ht="12.75">
      <c r="A3">
        <v>40</v>
      </c>
      <c r="B3">
        <f>G19</f>
        <v>0.14785608674223755</v>
      </c>
      <c r="C3">
        <f>N18</f>
        <v>0.73</v>
      </c>
    </row>
    <row r="4" spans="1:3" ht="12.75">
      <c r="A4">
        <v>60</v>
      </c>
      <c r="B4">
        <f>G30</f>
        <v>0.3676748582230624</v>
      </c>
      <c r="C4">
        <f>N30</f>
        <v>0.87</v>
      </c>
    </row>
    <row r="5" spans="1:3" ht="12.75">
      <c r="A5">
        <v>80</v>
      </c>
      <c r="B5">
        <f>G44</f>
        <v>0.5607385811467445</v>
      </c>
      <c r="C5">
        <f>N44</f>
        <v>1.06</v>
      </c>
    </row>
    <row r="6" spans="1:3" ht="12.75">
      <c r="A6">
        <v>100</v>
      </c>
      <c r="B6">
        <f>G58</f>
        <v>0.6682267290691628</v>
      </c>
      <c r="C6">
        <f>N60</f>
        <v>1.24</v>
      </c>
    </row>
    <row r="7" spans="1:3" ht="12.75">
      <c r="A7">
        <v>150</v>
      </c>
      <c r="B7">
        <f>G76</f>
        <v>0.7926587301587301</v>
      </c>
      <c r="C7">
        <f>N82</f>
        <v>1.58</v>
      </c>
    </row>
    <row r="8" spans="1:3" ht="12.75">
      <c r="A8">
        <v>200</v>
      </c>
      <c r="B8">
        <f>G92</f>
        <v>0.8962739174219537</v>
      </c>
      <c r="C8">
        <f>N96</f>
        <v>1.8900000000000001</v>
      </c>
    </row>
    <row r="9" spans="1:3" ht="12.75">
      <c r="A9">
        <v>250</v>
      </c>
      <c r="B9">
        <f>G110</f>
        <v>0.9246332827516439</v>
      </c>
      <c r="C9">
        <f>N116</f>
        <v>2.159999999999999</v>
      </c>
    </row>
    <row r="10" spans="1:3" ht="12.75">
      <c r="A10">
        <v>300</v>
      </c>
      <c r="C10">
        <f>N130</f>
        <v>2.339999999999999</v>
      </c>
    </row>
    <row r="14" spans="1:2" ht="12.75">
      <c r="A14" t="s">
        <v>7</v>
      </c>
      <c r="B14" t="s">
        <v>97</v>
      </c>
    </row>
    <row r="15" spans="14:15" ht="12.75">
      <c r="N15">
        <v>0.7</v>
      </c>
      <c r="O15">
        <f aca="true" t="shared" si="0" ref="O15:O20">-10.917*N15^3+33.975*N15^2-35.425*N15+12.515</f>
        <v>0.6207190000000047</v>
      </c>
    </row>
    <row r="16" spans="1:15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N16">
        <f>N15+0.01</f>
        <v>0.71</v>
      </c>
      <c r="O16">
        <f t="shared" si="0"/>
        <v>0.5827331130000069</v>
      </c>
    </row>
    <row r="17" spans="1:15" ht="12.75">
      <c r="A17">
        <v>80</v>
      </c>
      <c r="B17">
        <f>(A17+13.5822)/115.6017</f>
        <v>0.8095226973305756</v>
      </c>
      <c r="C17">
        <v>13614</v>
      </c>
      <c r="D17">
        <v>2061</v>
      </c>
      <c r="E17">
        <v>160</v>
      </c>
      <c r="F17">
        <v>472</v>
      </c>
      <c r="G17">
        <f>(F17+E17)/(D17-14*2)</f>
        <v>0.3108706345302509</v>
      </c>
      <c r="N17">
        <f>N16+0.01</f>
        <v>0.72</v>
      </c>
      <c r="O17">
        <f t="shared" si="0"/>
        <v>0.5468915840000044</v>
      </c>
    </row>
    <row r="18" spans="1:15" ht="12.75">
      <c r="A18">
        <v>90</v>
      </c>
      <c r="B18">
        <f>(A18+13.5822)/115.6017</f>
        <v>0.8960266155255503</v>
      </c>
      <c r="C18">
        <v>10965</v>
      </c>
      <c r="D18">
        <v>2034</v>
      </c>
      <c r="E18">
        <v>100</v>
      </c>
      <c r="F18">
        <v>295</v>
      </c>
      <c r="G18">
        <f>(F18+E18)/(D18-14*2)</f>
        <v>0.19690927218344964</v>
      </c>
      <c r="N18" s="2">
        <f>N17+0.01</f>
        <v>0.73</v>
      </c>
      <c r="O18" s="2">
        <f t="shared" si="0"/>
        <v>0.5131289110000026</v>
      </c>
    </row>
    <row r="19" spans="1:15" ht="12.75">
      <c r="A19" s="1">
        <v>102</v>
      </c>
      <c r="B19">
        <f>(A19+13.5822)/115.6017</f>
        <v>0.9998313173595198</v>
      </c>
      <c r="C19" s="1">
        <v>8981</v>
      </c>
      <c r="D19" s="1">
        <v>2057</v>
      </c>
      <c r="E19" s="1">
        <v>82</v>
      </c>
      <c r="F19" s="1">
        <v>218</v>
      </c>
      <c r="G19">
        <f>(F19+E19)/(D19-14*2)</f>
        <v>0.14785608674223755</v>
      </c>
      <c r="N19">
        <f>N18+0.01</f>
        <v>0.74</v>
      </c>
      <c r="O19">
        <f t="shared" si="0"/>
        <v>0.48137959200000324</v>
      </c>
    </row>
    <row r="20" spans="1:15" ht="12.75">
      <c r="A20">
        <v>120</v>
      </c>
      <c r="B20">
        <f>(A20+13.5822)/115.6017</f>
        <v>1.1555383701104742</v>
      </c>
      <c r="C20" s="1">
        <v>6435</v>
      </c>
      <c r="D20" s="1">
        <v>2087</v>
      </c>
      <c r="E20" s="1">
        <v>67</v>
      </c>
      <c r="F20" s="1">
        <v>141</v>
      </c>
      <c r="G20">
        <f>(F20+E20)/(D20-14*2)</f>
        <v>0.1010199125789218</v>
      </c>
      <c r="N20">
        <f>N19+0.01</f>
        <v>0.75</v>
      </c>
      <c r="O20">
        <f t="shared" si="0"/>
        <v>0.4515781250000046</v>
      </c>
    </row>
    <row r="21" spans="3:6" ht="12.75">
      <c r="C21" s="1"/>
      <c r="D21" s="1"/>
      <c r="E21" s="1"/>
      <c r="F21" s="1"/>
    </row>
    <row r="25" spans="1:2" ht="12.75">
      <c r="A25" t="s">
        <v>9</v>
      </c>
      <c r="B25" t="s">
        <v>82</v>
      </c>
    </row>
    <row r="27" spans="1:7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</row>
    <row r="28" spans="1:15" ht="12.75">
      <c r="A28">
        <v>80</v>
      </c>
      <c r="B28">
        <f aca="true" t="shared" si="1" ref="B28:B33">(A28+13.5822)/115.6017</f>
        <v>0.8095226973305756</v>
      </c>
      <c r="C28">
        <v>20177</v>
      </c>
      <c r="D28">
        <v>2036</v>
      </c>
      <c r="E28">
        <v>326</v>
      </c>
      <c r="F28">
        <v>833</v>
      </c>
      <c r="G28">
        <f aca="true" t="shared" si="2" ref="G28:G33">(F28+E28)/(D28-14*2)</f>
        <v>0.577191235059761</v>
      </c>
      <c r="N28">
        <v>0.85</v>
      </c>
      <c r="O28">
        <f aca="true" t="shared" si="3" ref="O28:O33">-0.3567*N28^3+2.1034*N28^2-4.081*N28+2.6935</f>
        <v>0.5252981124999994</v>
      </c>
    </row>
    <row r="29" spans="1:15" ht="12.75">
      <c r="A29">
        <v>90</v>
      </c>
      <c r="B29">
        <f t="shared" si="1"/>
        <v>0.8960266155255503</v>
      </c>
      <c r="C29">
        <v>17277</v>
      </c>
      <c r="D29">
        <v>2000</v>
      </c>
      <c r="E29">
        <v>236</v>
      </c>
      <c r="F29">
        <v>688</v>
      </c>
      <c r="G29">
        <f t="shared" si="2"/>
        <v>0.4685598377281947</v>
      </c>
      <c r="N29">
        <f>N28+0.01</f>
        <v>0.86</v>
      </c>
      <c r="O29">
        <f t="shared" si="3"/>
        <v>0.5126334647999995</v>
      </c>
    </row>
    <row r="30" spans="1:15" ht="12.75">
      <c r="A30" s="1">
        <v>102</v>
      </c>
      <c r="B30">
        <f t="shared" si="1"/>
        <v>0.9998313173595198</v>
      </c>
      <c r="C30">
        <v>14865</v>
      </c>
      <c r="D30">
        <v>2144</v>
      </c>
      <c r="E30">
        <v>196</v>
      </c>
      <c r="F30">
        <v>582</v>
      </c>
      <c r="G30">
        <f t="shared" si="2"/>
        <v>0.3676748582230624</v>
      </c>
      <c r="N30" s="2">
        <f>N29+0.01</f>
        <v>0.87</v>
      </c>
      <c r="O30" s="2">
        <f t="shared" si="3"/>
        <v>0.5002054398999998</v>
      </c>
    </row>
    <row r="31" spans="1:15" ht="12.75">
      <c r="A31">
        <v>120</v>
      </c>
      <c r="B31">
        <f t="shared" si="1"/>
        <v>1.1555383701104742</v>
      </c>
      <c r="C31">
        <v>11064</v>
      </c>
      <c r="D31">
        <v>2102</v>
      </c>
      <c r="E31">
        <v>126</v>
      </c>
      <c r="F31">
        <v>344</v>
      </c>
      <c r="G31">
        <f t="shared" si="2"/>
        <v>0.2266152362584378</v>
      </c>
      <c r="N31">
        <f>N30+0.01</f>
        <v>0.88</v>
      </c>
      <c r="O31">
        <f t="shared" si="3"/>
        <v>0.4880118975999994</v>
      </c>
    </row>
    <row r="32" spans="1:15" ht="12.75">
      <c r="A32">
        <v>150</v>
      </c>
      <c r="B32">
        <f t="shared" si="1"/>
        <v>1.4150501246953981</v>
      </c>
      <c r="C32">
        <v>7185</v>
      </c>
      <c r="D32">
        <v>2075</v>
      </c>
      <c r="E32">
        <v>63</v>
      </c>
      <c r="F32">
        <v>190</v>
      </c>
      <c r="G32">
        <f t="shared" si="2"/>
        <v>0.12359550561797752</v>
      </c>
      <c r="N32">
        <f>N31+0.01</f>
        <v>0.89</v>
      </c>
      <c r="O32">
        <f t="shared" si="3"/>
        <v>0.4760506976999994</v>
      </c>
    </row>
    <row r="33" spans="1:15" ht="12.75">
      <c r="A33">
        <v>180</v>
      </c>
      <c r="B33">
        <f t="shared" si="1"/>
        <v>1.674561879280322</v>
      </c>
      <c r="C33">
        <v>5126</v>
      </c>
      <c r="D33">
        <v>2031</v>
      </c>
      <c r="E33">
        <v>52</v>
      </c>
      <c r="F33">
        <v>112</v>
      </c>
      <c r="G33">
        <f t="shared" si="2"/>
        <v>0.08187718422366451</v>
      </c>
      <c r="N33">
        <f>N32+0.01</f>
        <v>0.9</v>
      </c>
      <c r="O33">
        <f t="shared" si="3"/>
        <v>0.46431969999999945</v>
      </c>
    </row>
    <row r="39" spans="1:2" ht="12.75">
      <c r="A39" t="s">
        <v>11</v>
      </c>
      <c r="B39" t="s">
        <v>98</v>
      </c>
    </row>
    <row r="41" spans="1:7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</row>
    <row r="42" spans="1:15" ht="12.75">
      <c r="A42">
        <v>80</v>
      </c>
      <c r="B42">
        <f aca="true" t="shared" si="4" ref="B42:B47">(A42+13.5822)/115.6017</f>
        <v>0.8095226973305756</v>
      </c>
      <c r="C42">
        <v>25610</v>
      </c>
      <c r="D42">
        <v>1987</v>
      </c>
      <c r="E42">
        <v>375</v>
      </c>
      <c r="F42">
        <v>1003</v>
      </c>
      <c r="G42">
        <f aca="true" t="shared" si="5" ref="G42:G47">(F42+E42)/(D42-14*2)</f>
        <v>0.703420112302195</v>
      </c>
      <c r="N42">
        <v>1.04</v>
      </c>
      <c r="O42">
        <f>0.8447*N42^3-2.7925*N42^2+2.1801*N42+0.3221</f>
        <v>0.5192086208</v>
      </c>
    </row>
    <row r="43" spans="1:15" ht="12.75">
      <c r="A43">
        <v>90</v>
      </c>
      <c r="B43">
        <f t="shared" si="4"/>
        <v>0.8960266155255503</v>
      </c>
      <c r="C43">
        <v>22642</v>
      </c>
      <c r="D43">
        <v>1939</v>
      </c>
      <c r="E43">
        <v>335</v>
      </c>
      <c r="F43">
        <v>891</v>
      </c>
      <c r="G43">
        <f t="shared" si="5"/>
        <v>0.641548927263213</v>
      </c>
      <c r="N43">
        <f aca="true" t="shared" si="6" ref="N43:N48">N42+0.01</f>
        <v>1.05</v>
      </c>
      <c r="O43">
        <f aca="true" t="shared" si="7" ref="O43:O48">0.8447*N43^3-2.7925*N43^2+2.1801*N43+0.3221</f>
        <v>0.5103195875</v>
      </c>
    </row>
    <row r="44" spans="1:15" ht="12.75">
      <c r="A44" s="1">
        <v>102</v>
      </c>
      <c r="B44">
        <f t="shared" si="4"/>
        <v>0.9998313173595198</v>
      </c>
      <c r="C44">
        <v>20002</v>
      </c>
      <c r="D44">
        <v>2086</v>
      </c>
      <c r="E44">
        <v>312</v>
      </c>
      <c r="F44">
        <v>842</v>
      </c>
      <c r="G44">
        <f t="shared" si="5"/>
        <v>0.5607385811467445</v>
      </c>
      <c r="N44" s="2">
        <f t="shared" si="6"/>
        <v>1.06</v>
      </c>
      <c r="O44" s="2">
        <f t="shared" si="7"/>
        <v>0.5014042152000002</v>
      </c>
    </row>
    <row r="45" spans="1:15" ht="12.75">
      <c r="A45">
        <v>120</v>
      </c>
      <c r="B45">
        <f t="shared" si="4"/>
        <v>1.1555383701104742</v>
      </c>
      <c r="C45">
        <v>15905</v>
      </c>
      <c r="D45">
        <v>2064</v>
      </c>
      <c r="E45">
        <v>216</v>
      </c>
      <c r="F45">
        <v>616</v>
      </c>
      <c r="G45">
        <f t="shared" si="5"/>
        <v>0.4086444007858546</v>
      </c>
      <c r="N45">
        <f t="shared" si="6"/>
        <v>1.07</v>
      </c>
      <c r="O45">
        <f t="shared" si="7"/>
        <v>0.4924675721</v>
      </c>
    </row>
    <row r="46" spans="1:15" ht="12.75">
      <c r="A46">
        <v>150</v>
      </c>
      <c r="B46">
        <f>(A46+13.5822)/115.6017</f>
        <v>1.4150501246953981</v>
      </c>
      <c r="C46">
        <v>10799</v>
      </c>
      <c r="D46">
        <v>2018</v>
      </c>
      <c r="E46">
        <v>116</v>
      </c>
      <c r="F46">
        <v>306</v>
      </c>
      <c r="G46">
        <f t="shared" si="5"/>
        <v>0.21206030150753769</v>
      </c>
      <c r="N46">
        <f t="shared" si="6"/>
        <v>1.08</v>
      </c>
      <c r="O46">
        <f t="shared" si="7"/>
        <v>0.4835147264000003</v>
      </c>
    </row>
    <row r="47" spans="1:15" ht="12.75">
      <c r="A47">
        <v>180</v>
      </c>
      <c r="B47">
        <f t="shared" si="4"/>
        <v>1.674561879280322</v>
      </c>
      <c r="C47">
        <v>7686</v>
      </c>
      <c r="D47">
        <v>2036</v>
      </c>
      <c r="E47">
        <v>66</v>
      </c>
      <c r="F47">
        <v>151</v>
      </c>
      <c r="G47">
        <f t="shared" si="5"/>
        <v>0.10806772908366534</v>
      </c>
      <c r="N47">
        <f t="shared" si="6"/>
        <v>1.09</v>
      </c>
      <c r="O47">
        <f t="shared" si="7"/>
        <v>0.47455074629999955</v>
      </c>
    </row>
    <row r="48" spans="14:15" ht="12.75">
      <c r="N48">
        <f t="shared" si="6"/>
        <v>1.1</v>
      </c>
      <c r="O48">
        <f t="shared" si="7"/>
        <v>0.46558069999999957</v>
      </c>
    </row>
    <row r="53" spans="1:2" ht="12.75">
      <c r="A53" t="s">
        <v>13</v>
      </c>
      <c r="B53" t="s">
        <v>92</v>
      </c>
    </row>
    <row r="55" spans="1:7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</row>
    <row r="56" spans="1:15" ht="12.75">
      <c r="A56">
        <v>80</v>
      </c>
      <c r="B56">
        <f aca="true" t="shared" si="8" ref="B56:B62">(A56+13.5822)/115.6017</f>
        <v>0.8095226973305756</v>
      </c>
      <c r="C56">
        <v>29378</v>
      </c>
      <c r="D56">
        <v>2075</v>
      </c>
      <c r="E56">
        <v>449</v>
      </c>
      <c r="F56">
        <v>1119</v>
      </c>
      <c r="G56">
        <f aca="true" t="shared" si="9" ref="G56:G63">(F56+E56)/(D56-14*2)</f>
        <v>0.7659990229604299</v>
      </c>
      <c r="N56">
        <v>1.2</v>
      </c>
      <c r="O56">
        <f>0.3636*N56^3-1.3893*N56^2+1.059*N56+0.6269</f>
        <v>0.5254088000000001</v>
      </c>
    </row>
    <row r="57" spans="1:15" ht="12.75">
      <c r="A57">
        <v>90</v>
      </c>
      <c r="B57">
        <f t="shared" si="8"/>
        <v>0.8960266155255503</v>
      </c>
      <c r="C57">
        <v>26738</v>
      </c>
      <c r="D57">
        <v>2070</v>
      </c>
      <c r="E57">
        <v>391</v>
      </c>
      <c r="F57">
        <v>1064</v>
      </c>
      <c r="G57">
        <f t="shared" si="9"/>
        <v>0.7125367286973555</v>
      </c>
      <c r="N57">
        <f aca="true" t="shared" si="10" ref="N57:N63">N56+0.01</f>
        <v>1.21</v>
      </c>
      <c r="O57">
        <f aca="true" t="shared" si="11" ref="O57:O63">0.3636*N57^3-1.3893*N57^2+1.059*N57+0.6269</f>
        <v>0.5183554495999998</v>
      </c>
    </row>
    <row r="58" spans="1:15" ht="12.75">
      <c r="A58">
        <v>102</v>
      </c>
      <c r="B58">
        <f t="shared" si="8"/>
        <v>0.9998313173595198</v>
      </c>
      <c r="C58">
        <v>24720</v>
      </c>
      <c r="D58">
        <v>1951</v>
      </c>
      <c r="E58">
        <v>367</v>
      </c>
      <c r="F58">
        <v>918</v>
      </c>
      <c r="G58">
        <f t="shared" si="9"/>
        <v>0.6682267290691628</v>
      </c>
      <c r="N58">
        <f t="shared" si="10"/>
        <v>1.22</v>
      </c>
      <c r="O58">
        <f t="shared" si="11"/>
        <v>0.5112882127999996</v>
      </c>
    </row>
    <row r="59" spans="1:15" ht="12.75">
      <c r="A59">
        <v>120</v>
      </c>
      <c r="B59">
        <f t="shared" si="8"/>
        <v>1.1555383701104742</v>
      </c>
      <c r="C59">
        <v>20404</v>
      </c>
      <c r="D59">
        <v>2028</v>
      </c>
      <c r="E59">
        <v>306</v>
      </c>
      <c r="F59">
        <v>839</v>
      </c>
      <c r="G59">
        <f t="shared" si="9"/>
        <v>0.5725</v>
      </c>
      <c r="N59">
        <f t="shared" si="10"/>
        <v>1.23</v>
      </c>
      <c r="O59">
        <f t="shared" si="11"/>
        <v>0.5042092711999999</v>
      </c>
    </row>
    <row r="60" spans="1:15" ht="12.75">
      <c r="A60">
        <v>150</v>
      </c>
      <c r="B60">
        <f t="shared" si="8"/>
        <v>1.4150501246953981</v>
      </c>
      <c r="C60">
        <v>14396</v>
      </c>
      <c r="D60">
        <v>1951</v>
      </c>
      <c r="E60">
        <v>195</v>
      </c>
      <c r="F60">
        <v>487</v>
      </c>
      <c r="G60">
        <f t="shared" si="9"/>
        <v>0.3546541861674467</v>
      </c>
      <c r="N60" s="2">
        <f t="shared" si="10"/>
        <v>1.24</v>
      </c>
      <c r="O60" s="2">
        <f t="shared" si="11"/>
        <v>0.4971208063999999</v>
      </c>
    </row>
    <row r="61" spans="1:15" ht="12.75">
      <c r="A61">
        <v>180</v>
      </c>
      <c r="B61">
        <f t="shared" si="8"/>
        <v>1.674561879280322</v>
      </c>
      <c r="C61">
        <v>10488</v>
      </c>
      <c r="D61">
        <v>1990</v>
      </c>
      <c r="E61">
        <v>114</v>
      </c>
      <c r="F61">
        <v>295</v>
      </c>
      <c r="G61">
        <f t="shared" si="9"/>
        <v>0.20846075433231395</v>
      </c>
      <c r="N61">
        <f t="shared" si="10"/>
        <v>1.25</v>
      </c>
      <c r="O61">
        <f t="shared" si="11"/>
        <v>0.4900249999999997</v>
      </c>
    </row>
    <row r="62" spans="1:15" ht="12.75">
      <c r="A62">
        <v>210</v>
      </c>
      <c r="B62">
        <f t="shared" si="8"/>
        <v>1.934073633865246</v>
      </c>
      <c r="C62">
        <v>7842</v>
      </c>
      <c r="D62">
        <v>2014</v>
      </c>
      <c r="E62">
        <v>59</v>
      </c>
      <c r="F62">
        <v>184</v>
      </c>
      <c r="G62">
        <f t="shared" si="9"/>
        <v>0.12235649546827794</v>
      </c>
      <c r="N62">
        <f t="shared" si="10"/>
        <v>1.26</v>
      </c>
      <c r="O62">
        <f t="shared" si="11"/>
        <v>0.4829240335999998</v>
      </c>
    </row>
    <row r="63" spans="1:15" ht="12.75">
      <c r="A63">
        <v>240</v>
      </c>
      <c r="B63">
        <f>(A63+13.5822)/115.6017</f>
        <v>2.19358538845017</v>
      </c>
      <c r="C63">
        <v>5959</v>
      </c>
      <c r="D63">
        <v>1990</v>
      </c>
      <c r="E63">
        <v>67</v>
      </c>
      <c r="F63">
        <v>124</v>
      </c>
      <c r="G63">
        <f t="shared" si="9"/>
        <v>0.09734964322120285</v>
      </c>
      <c r="N63">
        <f t="shared" si="10"/>
        <v>1.27</v>
      </c>
      <c r="O63">
        <f t="shared" si="11"/>
        <v>0.4758200887999997</v>
      </c>
    </row>
    <row r="64" spans="1:7" ht="12.75">
      <c r="A64">
        <v>135</v>
      </c>
      <c r="B64">
        <f>(A64+13.5822)/115.6017</f>
        <v>1.2852942474029363</v>
      </c>
      <c r="C64">
        <v>16688</v>
      </c>
      <c r="D64">
        <v>2032</v>
      </c>
      <c r="E64">
        <v>223</v>
      </c>
      <c r="F64">
        <v>616</v>
      </c>
      <c r="G64">
        <f>(F64+E64)/(D64-14*2)</f>
        <v>0.4186626746506986</v>
      </c>
    </row>
    <row r="71" spans="1:4" ht="12.75">
      <c r="A71" t="s">
        <v>17</v>
      </c>
      <c r="B71" t="s">
        <v>99</v>
      </c>
      <c r="C71" s="3"/>
      <c r="D71" s="3"/>
    </row>
    <row r="73" spans="1:7" ht="12.75">
      <c r="A73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</row>
    <row r="74" spans="1:15" ht="12.75">
      <c r="A74">
        <v>80</v>
      </c>
      <c r="B74">
        <f aca="true" t="shared" si="12" ref="B74:B82">(A74+13.5822)/115.6017</f>
        <v>0.8095226973305756</v>
      </c>
      <c r="C74">
        <v>38635</v>
      </c>
      <c r="D74">
        <v>2137</v>
      </c>
      <c r="E74">
        <v>563</v>
      </c>
      <c r="F74">
        <v>1325</v>
      </c>
      <c r="G74">
        <f aca="true" t="shared" si="13" ref="G74:G82">(F74+E74)/(D74-14*2)</f>
        <v>0.8952110004741584</v>
      </c>
      <c r="N74">
        <v>1.5</v>
      </c>
      <c r="O74">
        <f>0.2302*N74^3-1.0726*N74^2+1.0657*N74+0.5855</f>
        <v>0.5476250000000001</v>
      </c>
    </row>
    <row r="75" spans="1:15" ht="12.75">
      <c r="A75">
        <v>90</v>
      </c>
      <c r="B75">
        <f t="shared" si="12"/>
        <v>0.8960266155255503</v>
      </c>
      <c r="C75">
        <v>35650</v>
      </c>
      <c r="D75">
        <v>1995</v>
      </c>
      <c r="E75">
        <v>442</v>
      </c>
      <c r="F75">
        <v>1159</v>
      </c>
      <c r="G75">
        <f t="shared" si="13"/>
        <v>0.8139298423995933</v>
      </c>
      <c r="N75">
        <f aca="true" t="shared" si="14" ref="N75:N82">N74+0.01</f>
        <v>1.51</v>
      </c>
      <c r="O75">
        <f aca="true" t="shared" si="15" ref="O75:O82">0.2302*N75^3-1.0726*N75^2+1.0657*N75+0.5855</f>
        <v>0.5416390602</v>
      </c>
    </row>
    <row r="76" spans="1:15" ht="12.75">
      <c r="A76">
        <v>102</v>
      </c>
      <c r="B76">
        <f t="shared" si="12"/>
        <v>0.9998313173595198</v>
      </c>
      <c r="C76">
        <v>33139</v>
      </c>
      <c r="D76">
        <v>2044</v>
      </c>
      <c r="E76">
        <v>441</v>
      </c>
      <c r="F76">
        <v>1157</v>
      </c>
      <c r="G76">
        <f t="shared" si="13"/>
        <v>0.7926587301587301</v>
      </c>
      <c r="N76">
        <f t="shared" si="14"/>
        <v>1.52</v>
      </c>
      <c r="O76">
        <f t="shared" si="15"/>
        <v>0.5356471615999999</v>
      </c>
    </row>
    <row r="77" spans="1:15" ht="12.75">
      <c r="A77">
        <v>135</v>
      </c>
      <c r="B77">
        <f t="shared" si="12"/>
        <v>1.2852942474029363</v>
      </c>
      <c r="C77">
        <v>25268</v>
      </c>
      <c r="D77">
        <v>1905</v>
      </c>
      <c r="E77">
        <v>355</v>
      </c>
      <c r="F77">
        <v>947</v>
      </c>
      <c r="G77">
        <f t="shared" si="13"/>
        <v>0.6936600958977092</v>
      </c>
      <c r="N77">
        <f t="shared" si="14"/>
        <v>1.53</v>
      </c>
      <c r="O77">
        <f t="shared" si="15"/>
        <v>0.5296506854000002</v>
      </c>
    </row>
    <row r="78" spans="1:15" ht="12.75">
      <c r="A78">
        <v>150</v>
      </c>
      <c r="B78">
        <f t="shared" si="12"/>
        <v>1.4150501246953981</v>
      </c>
      <c r="C78">
        <v>22445</v>
      </c>
      <c r="D78">
        <v>2052</v>
      </c>
      <c r="E78">
        <v>350</v>
      </c>
      <c r="F78">
        <v>893</v>
      </c>
      <c r="G78">
        <f t="shared" si="13"/>
        <v>0.6141304347826086</v>
      </c>
      <c r="N78">
        <f t="shared" si="14"/>
        <v>1.54</v>
      </c>
      <c r="O78">
        <f t="shared" si="15"/>
        <v>0.5236510128000004</v>
      </c>
    </row>
    <row r="79" spans="1:15" ht="12.75">
      <c r="A79">
        <v>180</v>
      </c>
      <c r="B79">
        <f t="shared" si="12"/>
        <v>1.674561879280322</v>
      </c>
      <c r="C79">
        <v>17244</v>
      </c>
      <c r="D79">
        <v>2074</v>
      </c>
      <c r="E79">
        <v>244</v>
      </c>
      <c r="F79">
        <v>628</v>
      </c>
      <c r="G79">
        <f t="shared" si="13"/>
        <v>0.426197458455523</v>
      </c>
      <c r="N79">
        <f t="shared" si="14"/>
        <v>1.55</v>
      </c>
      <c r="O79">
        <f t="shared" si="15"/>
        <v>0.5176495249999998</v>
      </c>
    </row>
    <row r="80" spans="1:15" ht="12.75">
      <c r="A80">
        <v>210</v>
      </c>
      <c r="B80">
        <f t="shared" si="12"/>
        <v>1.934073633865246</v>
      </c>
      <c r="C80">
        <v>13649</v>
      </c>
      <c r="D80">
        <v>1976</v>
      </c>
      <c r="E80">
        <v>154</v>
      </c>
      <c r="F80">
        <v>402</v>
      </c>
      <c r="G80">
        <f t="shared" si="13"/>
        <v>0.28542094455852157</v>
      </c>
      <c r="N80">
        <f t="shared" si="14"/>
        <v>1.56</v>
      </c>
      <c r="O80">
        <f t="shared" si="15"/>
        <v>0.5116476032</v>
      </c>
    </row>
    <row r="81" spans="1:15" ht="12.75">
      <c r="A81">
        <v>240</v>
      </c>
      <c r="B81">
        <f t="shared" si="12"/>
        <v>2.19358538845017</v>
      </c>
      <c r="C81">
        <v>10528</v>
      </c>
      <c r="D81">
        <v>1954</v>
      </c>
      <c r="E81">
        <v>128</v>
      </c>
      <c r="F81">
        <v>274</v>
      </c>
      <c r="G81">
        <f t="shared" si="13"/>
        <v>0.2087227414330218</v>
      </c>
      <c r="N81">
        <f t="shared" si="14"/>
        <v>1.57</v>
      </c>
      <c r="O81">
        <f t="shared" si="15"/>
        <v>0.5056466286000002</v>
      </c>
    </row>
    <row r="82" spans="1:15" ht="12.75">
      <c r="A82">
        <v>270</v>
      </c>
      <c r="B82">
        <f t="shared" si="12"/>
        <v>2.453097143035094</v>
      </c>
      <c r="C82">
        <v>8301</v>
      </c>
      <c r="D82">
        <v>2008</v>
      </c>
      <c r="E82">
        <v>84</v>
      </c>
      <c r="F82">
        <v>190</v>
      </c>
      <c r="G82">
        <f t="shared" si="13"/>
        <v>0.1383838383838384</v>
      </c>
      <c r="N82" s="2">
        <f t="shared" si="14"/>
        <v>1.58</v>
      </c>
      <c r="O82" s="2">
        <f t="shared" si="15"/>
        <v>0.49964798239999986</v>
      </c>
    </row>
    <row r="83" spans="1:7" ht="12.75">
      <c r="A83">
        <v>120</v>
      </c>
      <c r="B83">
        <f>(A83+13.5822)/115.6017</f>
        <v>1.1555383701104742</v>
      </c>
      <c r="C83">
        <v>28406</v>
      </c>
      <c r="D83">
        <v>2010</v>
      </c>
      <c r="E83">
        <v>481</v>
      </c>
      <c r="F83">
        <v>1112</v>
      </c>
      <c r="G83">
        <f>(F83+E83)/(D83-14*2)</f>
        <v>0.8037336024217961</v>
      </c>
    </row>
    <row r="89" spans="1:4" ht="12.75">
      <c r="A89" t="s">
        <v>16</v>
      </c>
      <c r="B89" t="s">
        <v>100</v>
      </c>
      <c r="C89" s="3"/>
      <c r="D89" s="3"/>
    </row>
    <row r="91" spans="1:7" ht="12.7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</row>
    <row r="92" spans="1:15" ht="12.75">
      <c r="A92">
        <v>102</v>
      </c>
      <c r="B92" s="20">
        <f aca="true" t="shared" si="16" ref="B92:B99">(A92+13.5822)/115.6017</f>
        <v>0.9998313173595198</v>
      </c>
      <c r="C92" s="20">
        <v>159015</v>
      </c>
      <c r="D92" s="20">
        <v>2014</v>
      </c>
      <c r="E92" s="20">
        <v>535</v>
      </c>
      <c r="F92" s="20">
        <v>1245</v>
      </c>
      <c r="G92" s="20">
        <f aca="true" t="shared" si="17" ref="G92:G98">(F92+E92)/(D92-14*2)</f>
        <v>0.8962739174219537</v>
      </c>
      <c r="N92">
        <v>1.85</v>
      </c>
      <c r="O92">
        <f>0.1597*N92^3-0.8807*N92^2+1.0752*N92+0.5332</f>
        <v>0.5192847625000002</v>
      </c>
    </row>
    <row r="93" spans="1:15" ht="12.75">
      <c r="A93">
        <v>120</v>
      </c>
      <c r="B93">
        <f t="shared" si="16"/>
        <v>1.1555383701104742</v>
      </c>
      <c r="C93">
        <v>99769</v>
      </c>
      <c r="D93">
        <v>2081</v>
      </c>
      <c r="E93">
        <v>499</v>
      </c>
      <c r="F93">
        <v>1210</v>
      </c>
      <c r="G93">
        <f t="shared" si="17"/>
        <v>0.8324403312226011</v>
      </c>
      <c r="N93">
        <f aca="true" t="shared" si="18" ref="N93:N100">N92+0.01</f>
        <v>1.86</v>
      </c>
      <c r="O93">
        <f aca="true" t="shared" si="19" ref="O93:O100">0.1597*N93^3-0.8807*N93^2+1.0752*N93+0.5332</f>
        <v>0.5138487831999995</v>
      </c>
    </row>
    <row r="94" spans="1:15" ht="12.75">
      <c r="A94">
        <v>150</v>
      </c>
      <c r="B94">
        <f t="shared" si="16"/>
        <v>1.4150501246953981</v>
      </c>
      <c r="C94">
        <v>76204</v>
      </c>
      <c r="D94">
        <v>1920</v>
      </c>
      <c r="E94">
        <v>392</v>
      </c>
      <c r="F94">
        <v>1011</v>
      </c>
      <c r="G94">
        <f t="shared" si="17"/>
        <v>0.7415433403805497</v>
      </c>
      <c r="N94">
        <f t="shared" si="18"/>
        <v>1.87</v>
      </c>
      <c r="O94">
        <f t="shared" si="19"/>
        <v>0.5084148890999997</v>
      </c>
    </row>
    <row r="95" spans="1:15" ht="12.75">
      <c r="A95">
        <v>180</v>
      </c>
      <c r="B95">
        <f t="shared" si="16"/>
        <v>1.674561879280322</v>
      </c>
      <c r="C95">
        <v>72430</v>
      </c>
      <c r="D95">
        <v>1962</v>
      </c>
      <c r="E95">
        <v>344</v>
      </c>
      <c r="F95">
        <v>867</v>
      </c>
      <c r="G95">
        <f t="shared" si="17"/>
        <v>0.6261633919338159</v>
      </c>
      <c r="N95">
        <f t="shared" si="18"/>
        <v>1.8800000000000001</v>
      </c>
      <c r="O95">
        <f t="shared" si="19"/>
        <v>0.5029840383999994</v>
      </c>
    </row>
    <row r="96" spans="1:15" ht="12.75">
      <c r="A96">
        <v>210</v>
      </c>
      <c r="B96">
        <f t="shared" si="16"/>
        <v>1.934073633865246</v>
      </c>
      <c r="C96">
        <v>63517</v>
      </c>
      <c r="D96">
        <v>1984</v>
      </c>
      <c r="E96">
        <v>255</v>
      </c>
      <c r="F96">
        <v>663</v>
      </c>
      <c r="G96">
        <f t="shared" si="17"/>
        <v>0.46932515337423314</v>
      </c>
      <c r="N96" s="2">
        <f t="shared" si="18"/>
        <v>1.8900000000000001</v>
      </c>
      <c r="O96" s="2">
        <f t="shared" si="19"/>
        <v>0.4975571892999998</v>
      </c>
    </row>
    <row r="97" spans="1:15" ht="12.75">
      <c r="A97">
        <v>240</v>
      </c>
      <c r="B97">
        <f t="shared" si="16"/>
        <v>2.19358538845017</v>
      </c>
      <c r="C97">
        <v>15670</v>
      </c>
      <c r="D97">
        <v>2027</v>
      </c>
      <c r="E97">
        <v>190</v>
      </c>
      <c r="F97">
        <v>496</v>
      </c>
      <c r="G97">
        <f t="shared" si="17"/>
        <v>0.34317158579289647</v>
      </c>
      <c r="N97">
        <f t="shared" si="18"/>
        <v>1.9000000000000001</v>
      </c>
      <c r="O97">
        <f t="shared" si="19"/>
        <v>0.49213529999999983</v>
      </c>
    </row>
    <row r="98" spans="1:15" ht="12.75">
      <c r="A98">
        <v>270</v>
      </c>
      <c r="B98">
        <f t="shared" si="16"/>
        <v>2.453097143035094</v>
      </c>
      <c r="C98">
        <v>54416</v>
      </c>
      <c r="D98">
        <v>2016</v>
      </c>
      <c r="E98">
        <v>117</v>
      </c>
      <c r="F98">
        <v>322</v>
      </c>
      <c r="G98">
        <f t="shared" si="17"/>
        <v>0.22082494969818914</v>
      </c>
      <c r="N98">
        <f t="shared" si="18"/>
        <v>1.9100000000000001</v>
      </c>
      <c r="O98">
        <f t="shared" si="19"/>
        <v>0.4867193287000001</v>
      </c>
    </row>
    <row r="99" spans="1:15" ht="12.75">
      <c r="A99">
        <v>300</v>
      </c>
      <c r="B99">
        <f t="shared" si="16"/>
        <v>2.712608897620018</v>
      </c>
      <c r="C99" s="18">
        <v>45832</v>
      </c>
      <c r="D99" s="18">
        <v>2074</v>
      </c>
      <c r="E99" s="18">
        <v>94</v>
      </c>
      <c r="F99" s="18">
        <v>235</v>
      </c>
      <c r="G99" s="18">
        <f>(F99+E99)/(D99-14*2)</f>
        <v>0.16080156402737047</v>
      </c>
      <c r="N99">
        <f t="shared" si="18"/>
        <v>1.9200000000000002</v>
      </c>
      <c r="O99">
        <f t="shared" si="19"/>
        <v>0.4813102335999996</v>
      </c>
    </row>
    <row r="100" spans="3:15" ht="12.75">
      <c r="C100" s="18"/>
      <c r="D100" s="18"/>
      <c r="E100" s="18"/>
      <c r="F100" s="18"/>
      <c r="G100" s="18"/>
      <c r="N100">
        <f t="shared" si="18"/>
        <v>1.9300000000000002</v>
      </c>
      <c r="O100">
        <f t="shared" si="19"/>
        <v>0.4759089728999998</v>
      </c>
    </row>
    <row r="107" spans="1:4" ht="12.75">
      <c r="A107" t="s">
        <v>18</v>
      </c>
      <c r="B107" t="s">
        <v>101</v>
      </c>
      <c r="C107" s="3"/>
      <c r="D107" s="3"/>
    </row>
    <row r="109" spans="1:7" ht="12.75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</row>
    <row r="110" spans="1:15" ht="12.75">
      <c r="A110">
        <v>102</v>
      </c>
      <c r="B110">
        <f aca="true" t="shared" si="20" ref="B110:B117">(A110+13.5822)/115.6017</f>
        <v>0.9998313173595198</v>
      </c>
      <c r="C110">
        <v>807086</v>
      </c>
      <c r="D110">
        <v>2005</v>
      </c>
      <c r="E110">
        <v>521</v>
      </c>
      <c r="F110">
        <v>1307</v>
      </c>
      <c r="G110" s="18">
        <f aca="true" t="shared" si="21" ref="G110:G117">(F110+E110)/(D110-14*2)</f>
        <v>0.9246332827516439</v>
      </c>
      <c r="N110">
        <v>2.1</v>
      </c>
      <c r="O110">
        <f>0.0853*N110^3-0.529*N110^2+0.6379*N110+0.7295</f>
        <v>0.5261632999999999</v>
      </c>
    </row>
    <row r="111" spans="1:15" ht="12.75">
      <c r="A111">
        <v>180</v>
      </c>
      <c r="B111">
        <f t="shared" si="20"/>
        <v>1.674561879280322</v>
      </c>
      <c r="C111">
        <v>55228</v>
      </c>
      <c r="D111">
        <v>2005</v>
      </c>
      <c r="E111">
        <v>425</v>
      </c>
      <c r="F111">
        <v>979</v>
      </c>
      <c r="G111" s="18">
        <f t="shared" si="21"/>
        <v>0.7101669195751138</v>
      </c>
      <c r="N111">
        <f aca="true" t="shared" si="22" ref="N111:N117">N110+0.01</f>
        <v>2.11</v>
      </c>
      <c r="O111">
        <f aca="true" t="shared" si="23" ref="O111:O117">0.0853*N111^3-0.529*N111^2+0.6379*N111+0.7295</f>
        <v>0.5216104143</v>
      </c>
    </row>
    <row r="112" spans="1:15" ht="12.75">
      <c r="A112">
        <v>210</v>
      </c>
      <c r="B112">
        <f t="shared" si="20"/>
        <v>1.934073633865246</v>
      </c>
      <c r="C112">
        <v>69642</v>
      </c>
      <c r="D112">
        <v>1979</v>
      </c>
      <c r="E112">
        <v>330</v>
      </c>
      <c r="F112">
        <v>836</v>
      </c>
      <c r="G112" s="18">
        <f t="shared" si="21"/>
        <v>0.5976422347514095</v>
      </c>
      <c r="N112">
        <f t="shared" si="22"/>
        <v>2.1199999999999997</v>
      </c>
      <c r="O112">
        <f t="shared" si="23"/>
        <v>0.5170597183999999</v>
      </c>
    </row>
    <row r="113" spans="1:15" ht="12.75">
      <c r="A113">
        <v>240</v>
      </c>
      <c r="B113">
        <f t="shared" si="20"/>
        <v>2.19358538845017</v>
      </c>
      <c r="C113">
        <v>207051</v>
      </c>
      <c r="D113">
        <v>1991</v>
      </c>
      <c r="E113">
        <v>292</v>
      </c>
      <c r="F113">
        <v>692</v>
      </c>
      <c r="G113" s="18">
        <f t="shared" si="21"/>
        <v>0.5012735608762099</v>
      </c>
      <c r="N113">
        <f t="shared" si="22"/>
        <v>2.1299999999999994</v>
      </c>
      <c r="O113">
        <f t="shared" si="23"/>
        <v>0.5125117241000003</v>
      </c>
    </row>
    <row r="114" spans="1:15" ht="12.75">
      <c r="A114">
        <v>270</v>
      </c>
      <c r="B114">
        <f t="shared" si="20"/>
        <v>2.453097143035094</v>
      </c>
      <c r="C114">
        <v>140354</v>
      </c>
      <c r="D114">
        <v>1895</v>
      </c>
      <c r="E114">
        <v>195</v>
      </c>
      <c r="F114">
        <v>477</v>
      </c>
      <c r="G114" s="18">
        <f t="shared" si="21"/>
        <v>0.35993572576325655</v>
      </c>
      <c r="N114">
        <f t="shared" si="22"/>
        <v>2.1399999999999992</v>
      </c>
      <c r="O114">
        <f t="shared" si="23"/>
        <v>0.5079669432000002</v>
      </c>
    </row>
    <row r="115" spans="1:15" ht="12.75">
      <c r="A115">
        <v>300</v>
      </c>
      <c r="B115">
        <f t="shared" si="20"/>
        <v>2.712608897620018</v>
      </c>
      <c r="C115">
        <v>74726</v>
      </c>
      <c r="D115">
        <v>1999</v>
      </c>
      <c r="E115">
        <v>160</v>
      </c>
      <c r="F115">
        <v>369</v>
      </c>
      <c r="G115" s="18">
        <f t="shared" si="21"/>
        <v>0.26839167935058345</v>
      </c>
      <c r="N115">
        <f t="shared" si="22"/>
        <v>2.149999999999999</v>
      </c>
      <c r="O115">
        <f t="shared" si="23"/>
        <v>0.5034258875000002</v>
      </c>
    </row>
    <row r="116" spans="1:15" ht="12.75">
      <c r="A116">
        <v>330</v>
      </c>
      <c r="B116">
        <f t="shared" si="20"/>
        <v>2.972120652204942</v>
      </c>
      <c r="C116">
        <v>96169</v>
      </c>
      <c r="D116">
        <v>1926</v>
      </c>
      <c r="E116">
        <v>108</v>
      </c>
      <c r="F116">
        <v>255</v>
      </c>
      <c r="G116" s="18">
        <f t="shared" si="21"/>
        <v>0.19125395152792413</v>
      </c>
      <c r="N116" s="2">
        <f t="shared" si="22"/>
        <v>2.159999999999999</v>
      </c>
      <c r="O116" s="2">
        <f t="shared" si="23"/>
        <v>0.4988890688000003</v>
      </c>
    </row>
    <row r="117" spans="1:15" ht="12.75">
      <c r="A117">
        <v>360</v>
      </c>
      <c r="B117">
        <f t="shared" si="20"/>
        <v>3.2316324067898656</v>
      </c>
      <c r="C117">
        <v>115898</v>
      </c>
      <c r="D117">
        <v>2061</v>
      </c>
      <c r="E117">
        <v>88</v>
      </c>
      <c r="F117">
        <v>209</v>
      </c>
      <c r="G117" s="18">
        <f t="shared" si="21"/>
        <v>0.14608952287260207</v>
      </c>
      <c r="N117">
        <f t="shared" si="22"/>
        <v>2.1699999999999986</v>
      </c>
      <c r="O117">
        <f t="shared" si="23"/>
        <v>0.49435699890000095</v>
      </c>
    </row>
    <row r="123" ht="12.75">
      <c r="A123" t="s">
        <v>19</v>
      </c>
    </row>
    <row r="125" spans="1:7" ht="12.7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</row>
    <row r="126" spans="1:15" ht="12.75">
      <c r="A126">
        <v>102</v>
      </c>
      <c r="B126">
        <f aca="true" t="shared" si="24" ref="B126:B131">(A126+13.5822)/115.6017</f>
        <v>0.9998313173595198</v>
      </c>
      <c r="N126">
        <v>2.3</v>
      </c>
      <c r="O126">
        <f>0.4038*N126^3-2.9836*N126^2+6.7595*N126-4.1512</f>
        <v>0.5254405999999987</v>
      </c>
    </row>
    <row r="127" spans="1:15" ht="12.75">
      <c r="A127">
        <v>210</v>
      </c>
      <c r="B127">
        <f t="shared" si="24"/>
        <v>1.934073633865246</v>
      </c>
      <c r="C127">
        <v>119753</v>
      </c>
      <c r="D127">
        <v>2027</v>
      </c>
      <c r="E127">
        <v>420</v>
      </c>
      <c r="F127">
        <v>957</v>
      </c>
      <c r="G127" s="18">
        <f>(F127+E127)/(D127-14*2)</f>
        <v>0.6888444222111055</v>
      </c>
      <c r="N127">
        <f aca="true" t="shared" si="25" ref="N127:N132">N126+0.01</f>
        <v>2.3099999999999996</v>
      </c>
      <c r="O127">
        <f aca="true" t="shared" si="26" ref="O127:O132">0.4038*N127^3-2.9836*N127^2+6.7595*N127-4.1512</f>
        <v>0.5198537258000018</v>
      </c>
    </row>
    <row r="128" spans="1:15" ht="12.75">
      <c r="A128">
        <v>240</v>
      </c>
      <c r="B128">
        <f t="shared" si="24"/>
        <v>2.19358538845017</v>
      </c>
      <c r="C128">
        <v>549222</v>
      </c>
      <c r="D128">
        <v>1985</v>
      </c>
      <c r="E128">
        <v>316</v>
      </c>
      <c r="F128">
        <v>780</v>
      </c>
      <c r="G128" s="18">
        <f>(F128+E128)/(D128-14*2)</f>
        <v>0.5600408788962699</v>
      </c>
      <c r="N128">
        <f t="shared" si="25"/>
        <v>2.3199999999999994</v>
      </c>
      <c r="O128">
        <f t="shared" si="26"/>
        <v>0.5142297983999997</v>
      </c>
    </row>
    <row r="129" spans="1:15" ht="12.75">
      <c r="A129">
        <v>270</v>
      </c>
      <c r="B129">
        <f t="shared" si="24"/>
        <v>2.453097143035094</v>
      </c>
      <c r="C129">
        <v>102450</v>
      </c>
      <c r="D129">
        <v>1968</v>
      </c>
      <c r="E129">
        <v>251</v>
      </c>
      <c r="F129">
        <v>663</v>
      </c>
      <c r="G129" s="18">
        <f>(F129+E129)/(D129-14*2)</f>
        <v>0.4711340206185567</v>
      </c>
      <c r="N129">
        <f t="shared" si="25"/>
        <v>2.329999999999999</v>
      </c>
      <c r="O129">
        <f t="shared" si="26"/>
        <v>0.5085712406000011</v>
      </c>
    </row>
    <row r="130" spans="1:15" ht="12.75">
      <c r="A130">
        <v>300</v>
      </c>
      <c r="B130">
        <f t="shared" si="24"/>
        <v>2.712608897620018</v>
      </c>
      <c r="C130">
        <v>74726</v>
      </c>
      <c r="D130">
        <v>1999</v>
      </c>
      <c r="E130">
        <v>161</v>
      </c>
      <c r="F130">
        <v>369</v>
      </c>
      <c r="G130" s="18">
        <f>(F130+E130)/(D130-14*2)</f>
        <v>0.2688990360223237</v>
      </c>
      <c r="N130" s="2">
        <f t="shared" si="25"/>
        <v>2.339999999999999</v>
      </c>
      <c r="O130" s="2">
        <f t="shared" si="26"/>
        <v>0.5028804751999987</v>
      </c>
    </row>
    <row r="131" spans="1:15" ht="12.75">
      <c r="A131">
        <v>330</v>
      </c>
      <c r="B131">
        <f t="shared" si="24"/>
        <v>2.972120652204942</v>
      </c>
      <c r="C131">
        <v>96169</v>
      </c>
      <c r="D131">
        <v>1926</v>
      </c>
      <c r="E131">
        <v>108</v>
      </c>
      <c r="F131">
        <v>255</v>
      </c>
      <c r="G131" s="18">
        <f>(F131+E131)/(D131-14*2)</f>
        <v>0.19125395152792413</v>
      </c>
      <c r="N131">
        <f t="shared" si="25"/>
        <v>2.3499999999999988</v>
      </c>
      <c r="O131">
        <f t="shared" si="26"/>
        <v>0.49715992500000095</v>
      </c>
    </row>
    <row r="132" spans="14:15" ht="12.75">
      <c r="N132">
        <f t="shared" si="25"/>
        <v>2.3599999999999985</v>
      </c>
      <c r="O132">
        <f t="shared" si="26"/>
        <v>0.4914120127999988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1"/>
  <sheetViews>
    <sheetView workbookViewId="0" topLeftCell="A80">
      <selection activeCell="G136" sqref="G136"/>
    </sheetView>
  </sheetViews>
  <sheetFormatPr defaultColWidth="9.140625" defaultRowHeight="12.75"/>
  <cols>
    <col min="1" max="1" width="10.140625" style="0" customWidth="1"/>
  </cols>
  <sheetData>
    <row r="1" ht="12.75">
      <c r="A1" t="s">
        <v>81</v>
      </c>
    </row>
    <row r="2" spans="1:3" ht="12.75">
      <c r="A2" t="s">
        <v>69</v>
      </c>
      <c r="B2" t="s">
        <v>45</v>
      </c>
      <c r="C2" t="s">
        <v>62</v>
      </c>
    </row>
    <row r="3" spans="1:3" ht="12.75">
      <c r="A3">
        <v>40</v>
      </c>
      <c r="B3">
        <f>G19</f>
        <v>0.14503415659485025</v>
      </c>
      <c r="C3">
        <f>N18</f>
        <v>0.52</v>
      </c>
    </row>
    <row r="4" spans="1:3" ht="12.75">
      <c r="A4">
        <v>60</v>
      </c>
      <c r="B4">
        <f>G30</f>
        <v>0.29204006325777543</v>
      </c>
      <c r="C4">
        <f>N30</f>
        <v>0</v>
      </c>
    </row>
    <row r="5" spans="1:3" ht="12.75">
      <c r="A5">
        <v>80</v>
      </c>
      <c r="B5">
        <f>G44</f>
        <v>0.43256059009483666</v>
      </c>
      <c r="C5">
        <f>N44</f>
        <v>0</v>
      </c>
    </row>
    <row r="6" spans="1:3" ht="12.75">
      <c r="A6">
        <v>100</v>
      </c>
      <c r="B6">
        <f>G58</f>
        <v>0.6268656716417911</v>
      </c>
      <c r="C6">
        <f>N60</f>
        <v>0</v>
      </c>
    </row>
    <row r="7" spans="1:3" ht="12.75">
      <c r="A7">
        <v>150</v>
      </c>
      <c r="B7">
        <f>G76</f>
        <v>0.7767245918904687</v>
      </c>
      <c r="C7">
        <f>N82</f>
        <v>0</v>
      </c>
    </row>
    <row r="8" spans="1:3" ht="12.75">
      <c r="A8">
        <v>200</v>
      </c>
      <c r="B8">
        <f>G92</f>
        <v>0.8504672897196262</v>
      </c>
      <c r="C8">
        <f>N96</f>
        <v>0</v>
      </c>
    </row>
    <row r="9" spans="1:3" ht="12.75">
      <c r="A9">
        <v>250</v>
      </c>
      <c r="B9">
        <f>G110</f>
        <v>0.9036144578313253</v>
      </c>
      <c r="C9">
        <f>N116</f>
        <v>0</v>
      </c>
    </row>
    <row r="10" spans="1:3" ht="12.75">
      <c r="A10">
        <v>300</v>
      </c>
      <c r="C10">
        <f>N130</f>
        <v>0</v>
      </c>
    </row>
    <row r="14" spans="1:2" ht="12.75">
      <c r="A14" t="s">
        <v>7</v>
      </c>
      <c r="B14" t="s">
        <v>107</v>
      </c>
    </row>
    <row r="16" spans="1:14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N16">
        <v>0.5</v>
      </c>
    </row>
    <row r="17" spans="1:14" ht="12.75">
      <c r="A17">
        <v>80</v>
      </c>
      <c r="B17">
        <f>(A17+13.5822)/115.6017</f>
        <v>0.8095226973305756</v>
      </c>
      <c r="C17">
        <v>12976</v>
      </c>
      <c r="D17">
        <v>2045</v>
      </c>
      <c r="E17">
        <v>140</v>
      </c>
      <c r="F17">
        <v>351</v>
      </c>
      <c r="G17">
        <f>(E17+F17)/(D17-14*2)</f>
        <v>0.24343083787803668</v>
      </c>
      <c r="N17">
        <f>N16+0.01</f>
        <v>0.51</v>
      </c>
    </row>
    <row r="18" spans="1:14" ht="12.75">
      <c r="A18">
        <v>90</v>
      </c>
      <c r="B18">
        <f>(A18+13.5822)/115.6017</f>
        <v>0.8960266155255503</v>
      </c>
      <c r="C18">
        <v>9685</v>
      </c>
      <c r="D18">
        <v>1933</v>
      </c>
      <c r="E18">
        <v>87</v>
      </c>
      <c r="F18">
        <v>242</v>
      </c>
      <c r="G18">
        <f>(E18+F18)/(D18-14*2)</f>
        <v>0.17270341207349083</v>
      </c>
      <c r="N18">
        <f>N17+0.01</f>
        <v>0.52</v>
      </c>
    </row>
    <row r="19" spans="1:14" ht="12.75">
      <c r="A19" s="1">
        <v>102</v>
      </c>
      <c r="B19">
        <f>(A19+13.5822)/115.6017</f>
        <v>0.9998313173595198</v>
      </c>
      <c r="C19" s="1">
        <v>8084</v>
      </c>
      <c r="D19" s="1">
        <v>1931</v>
      </c>
      <c r="E19" s="1">
        <v>82</v>
      </c>
      <c r="F19" s="1">
        <v>194</v>
      </c>
      <c r="G19">
        <f>(E19+F19)/(D19-14*2)</f>
        <v>0.14503415659485025</v>
      </c>
      <c r="N19">
        <f>N18+0.01</f>
        <v>0.53</v>
      </c>
    </row>
    <row r="20" spans="1:14" ht="12.75">
      <c r="A20">
        <v>120</v>
      </c>
      <c r="B20">
        <f>(A20+13.5822)/115.6017</f>
        <v>1.1555383701104742</v>
      </c>
      <c r="C20" s="1">
        <v>5518</v>
      </c>
      <c r="D20" s="1">
        <v>1934</v>
      </c>
      <c r="E20" s="1">
        <v>56</v>
      </c>
      <c r="F20" s="1">
        <v>111</v>
      </c>
      <c r="G20">
        <f>(E20+F20)/(D20-14*2)</f>
        <v>0.08761804826862539</v>
      </c>
      <c r="N20">
        <f>N19+0.01</f>
        <v>0.54</v>
      </c>
    </row>
    <row r="21" spans="3:14" ht="12.75">
      <c r="C21" s="1"/>
      <c r="D21" s="1"/>
      <c r="E21" s="1"/>
      <c r="F21" s="1"/>
      <c r="N21">
        <f>N20+0.01</f>
        <v>0.55</v>
      </c>
    </row>
    <row r="25" spans="1:2" ht="12.75">
      <c r="A25" t="s">
        <v>9</v>
      </c>
      <c r="B25" t="s">
        <v>108</v>
      </c>
    </row>
    <row r="27" spans="1:7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</row>
    <row r="28" spans="1:7" ht="12.75">
      <c r="A28">
        <v>80</v>
      </c>
      <c r="B28">
        <f>(A28+13.5822)/115.6017</f>
        <v>0.8095226973305756</v>
      </c>
      <c r="C28">
        <v>18370</v>
      </c>
      <c r="D28">
        <v>1894</v>
      </c>
      <c r="E28">
        <v>276</v>
      </c>
      <c r="F28">
        <v>673</v>
      </c>
      <c r="G28">
        <f>(E28+F28)/(D28-14*2)</f>
        <v>0.5085744908896034</v>
      </c>
    </row>
    <row r="29" spans="1:7" ht="12.75">
      <c r="A29">
        <v>90</v>
      </c>
      <c r="B29">
        <f>(A29+13.5822)/115.6017</f>
        <v>0.8960266155255503</v>
      </c>
      <c r="C29">
        <v>15618</v>
      </c>
      <c r="D29">
        <v>2005</v>
      </c>
      <c r="E29">
        <v>242</v>
      </c>
      <c r="F29">
        <v>570</v>
      </c>
      <c r="G29">
        <f>(E29+F29)/(D29-14*2)</f>
        <v>0.4107233181588265</v>
      </c>
    </row>
    <row r="30" spans="1:7" ht="12.75">
      <c r="A30" s="1">
        <v>102</v>
      </c>
      <c r="B30">
        <f>(A30+13.5822)/115.6017</f>
        <v>0.9998313173595198</v>
      </c>
      <c r="C30">
        <v>12611</v>
      </c>
      <c r="D30">
        <v>1925</v>
      </c>
      <c r="E30">
        <v>167</v>
      </c>
      <c r="F30">
        <v>387</v>
      </c>
      <c r="G30">
        <f>(E30+F30)/(D30-14*2)</f>
        <v>0.29204006325777543</v>
      </c>
    </row>
    <row r="31" spans="1:7" ht="12.75">
      <c r="A31">
        <v>120</v>
      </c>
      <c r="B31">
        <f>(A31+13.5822)/115.6017</f>
        <v>1.1555383701104742</v>
      </c>
      <c r="C31">
        <v>9442</v>
      </c>
      <c r="D31">
        <v>1940</v>
      </c>
      <c r="E31">
        <v>105</v>
      </c>
      <c r="F31">
        <v>225</v>
      </c>
      <c r="G31">
        <f>(E31+F31)/(D31-14*2)</f>
        <v>0.17259414225941422</v>
      </c>
    </row>
    <row r="32" spans="1:7" ht="12.75">
      <c r="A32">
        <v>150</v>
      </c>
      <c r="B32">
        <f>(A32+13.5822)/115.6017</f>
        <v>1.4150501246953981</v>
      </c>
      <c r="C32">
        <v>6323</v>
      </c>
      <c r="D32">
        <v>2008</v>
      </c>
      <c r="E32">
        <v>56</v>
      </c>
      <c r="F32">
        <v>138</v>
      </c>
      <c r="G32">
        <f>(E32+F32)/(D32-14*2)</f>
        <v>0.09797979797979799</v>
      </c>
    </row>
    <row r="39" spans="1:2" ht="12.75">
      <c r="A39" t="s">
        <v>11</v>
      </c>
      <c r="B39" t="s">
        <v>98</v>
      </c>
    </row>
    <row r="41" spans="1:7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</row>
    <row r="42" spans="1:7" ht="12.75">
      <c r="A42">
        <v>80</v>
      </c>
      <c r="B42">
        <f aca="true" t="shared" si="0" ref="B42:B47">(A42+13.5822)/115.6017</f>
        <v>0.8095226973305756</v>
      </c>
      <c r="C42">
        <v>23791</v>
      </c>
      <c r="D42">
        <v>1963</v>
      </c>
      <c r="E42">
        <v>353</v>
      </c>
      <c r="F42">
        <v>884</v>
      </c>
      <c r="G42">
        <f aca="true" t="shared" si="1" ref="G42:G47">(E42+F42)/(D42-14*2)</f>
        <v>0.6392764857881137</v>
      </c>
    </row>
    <row r="43" spans="1:7" ht="12.75">
      <c r="A43">
        <v>90</v>
      </c>
      <c r="B43">
        <f t="shared" si="0"/>
        <v>0.8960266155255503</v>
      </c>
      <c r="C43">
        <v>21229</v>
      </c>
      <c r="D43">
        <v>1986</v>
      </c>
      <c r="E43">
        <v>346</v>
      </c>
      <c r="F43">
        <v>801</v>
      </c>
      <c r="G43">
        <f t="shared" si="1"/>
        <v>0.5858018386108274</v>
      </c>
    </row>
    <row r="44" spans="1:7" ht="12.75">
      <c r="A44" s="1">
        <v>102</v>
      </c>
      <c r="B44">
        <f t="shared" si="0"/>
        <v>0.9998313173595198</v>
      </c>
      <c r="C44">
        <v>17932</v>
      </c>
      <c r="D44">
        <v>1926</v>
      </c>
      <c r="E44">
        <v>244</v>
      </c>
      <c r="F44">
        <v>577</v>
      </c>
      <c r="G44">
        <f t="shared" si="1"/>
        <v>0.43256059009483666</v>
      </c>
    </row>
    <row r="45" spans="1:7" ht="12.75">
      <c r="A45">
        <v>120</v>
      </c>
      <c r="B45">
        <f t="shared" si="0"/>
        <v>1.1555383701104742</v>
      </c>
      <c r="C45">
        <v>9442</v>
      </c>
      <c r="D45">
        <v>1940</v>
      </c>
      <c r="E45">
        <v>104</v>
      </c>
      <c r="F45">
        <v>225</v>
      </c>
      <c r="G45">
        <f t="shared" si="1"/>
        <v>0.17207112970711297</v>
      </c>
    </row>
    <row r="46" spans="1:7" ht="12.75">
      <c r="A46">
        <v>150</v>
      </c>
      <c r="B46">
        <f>(A46+13.5822)/115.6017</f>
        <v>1.4150501246953981</v>
      </c>
      <c r="C46">
        <v>9412</v>
      </c>
      <c r="D46">
        <v>1982</v>
      </c>
      <c r="E46">
        <v>106</v>
      </c>
      <c r="F46">
        <v>245</v>
      </c>
      <c r="G46">
        <f t="shared" si="1"/>
        <v>0.1796315250767656</v>
      </c>
    </row>
    <row r="47" spans="1:7" ht="12.75">
      <c r="A47">
        <v>180</v>
      </c>
      <c r="B47">
        <f t="shared" si="0"/>
        <v>1.674561879280322</v>
      </c>
      <c r="C47">
        <v>6390</v>
      </c>
      <c r="D47">
        <v>1897</v>
      </c>
      <c r="E47">
        <v>81</v>
      </c>
      <c r="F47">
        <v>141</v>
      </c>
      <c r="G47">
        <f t="shared" si="1"/>
        <v>0.1187800963081862</v>
      </c>
    </row>
    <row r="53" spans="1:2" ht="12.75">
      <c r="A53" t="s">
        <v>13</v>
      </c>
      <c r="B53" t="s">
        <v>109</v>
      </c>
    </row>
    <row r="55" spans="1:7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</row>
    <row r="56" spans="1:7" ht="12.75">
      <c r="A56">
        <v>80</v>
      </c>
      <c r="B56">
        <f aca="true" t="shared" si="2" ref="B56:B62">(A56+13.5822)/115.6017</f>
        <v>0.8095226973305756</v>
      </c>
      <c r="C56">
        <v>27938</v>
      </c>
      <c r="D56">
        <v>1932</v>
      </c>
      <c r="E56">
        <v>429</v>
      </c>
      <c r="F56">
        <v>993</v>
      </c>
      <c r="G56">
        <f aca="true" t="shared" si="3" ref="G56:G62">(E56+F56)/(D56-14*2)</f>
        <v>0.7468487394957983</v>
      </c>
    </row>
    <row r="57" spans="1:7" ht="12.75">
      <c r="A57">
        <v>90</v>
      </c>
      <c r="B57">
        <f t="shared" si="2"/>
        <v>0.8960266155255503</v>
      </c>
      <c r="C57">
        <v>25548</v>
      </c>
      <c r="D57">
        <v>1909</v>
      </c>
      <c r="E57">
        <v>392</v>
      </c>
      <c r="F57">
        <v>889</v>
      </c>
      <c r="G57">
        <f t="shared" si="3"/>
        <v>0.6810207336523126</v>
      </c>
    </row>
    <row r="58" spans="1:7" ht="12.75">
      <c r="A58">
        <v>102</v>
      </c>
      <c r="B58">
        <f t="shared" si="2"/>
        <v>0.9998313173595198</v>
      </c>
      <c r="C58">
        <v>22574</v>
      </c>
      <c r="D58">
        <v>1904</v>
      </c>
      <c r="E58">
        <v>337</v>
      </c>
      <c r="F58">
        <v>839</v>
      </c>
      <c r="G58">
        <f t="shared" si="3"/>
        <v>0.6268656716417911</v>
      </c>
    </row>
    <row r="59" spans="1:7" ht="12.75">
      <c r="A59">
        <v>120</v>
      </c>
      <c r="B59">
        <f t="shared" si="2"/>
        <v>1.1555383701104742</v>
      </c>
      <c r="C59">
        <v>18745</v>
      </c>
      <c r="D59">
        <v>1953</v>
      </c>
      <c r="E59">
        <v>265</v>
      </c>
      <c r="F59">
        <v>649</v>
      </c>
      <c r="G59">
        <f>(E59+F59)/(D59-14*2)</f>
        <v>0.4748051948051948</v>
      </c>
    </row>
    <row r="60" spans="1:7" ht="12.75">
      <c r="A60">
        <v>150</v>
      </c>
      <c r="B60">
        <f t="shared" si="2"/>
        <v>1.4150501246953981</v>
      </c>
      <c r="C60">
        <v>13135</v>
      </c>
      <c r="D60">
        <v>1965</v>
      </c>
      <c r="E60">
        <v>181</v>
      </c>
      <c r="F60">
        <v>425</v>
      </c>
      <c r="G60">
        <f t="shared" si="3"/>
        <v>0.3128549303045947</v>
      </c>
    </row>
    <row r="61" spans="1:7" ht="12.75">
      <c r="A61">
        <v>180</v>
      </c>
      <c r="B61">
        <f t="shared" si="2"/>
        <v>1.674561879280322</v>
      </c>
      <c r="C61">
        <v>9332</v>
      </c>
      <c r="D61">
        <v>1936</v>
      </c>
      <c r="E61">
        <v>95</v>
      </c>
      <c r="F61">
        <v>231</v>
      </c>
      <c r="G61">
        <f t="shared" si="3"/>
        <v>0.1708595387840671</v>
      </c>
    </row>
    <row r="62" spans="1:7" ht="12.75">
      <c r="A62">
        <v>210</v>
      </c>
      <c r="B62">
        <f t="shared" si="2"/>
        <v>1.934073633865246</v>
      </c>
      <c r="C62">
        <v>6823</v>
      </c>
      <c r="D62">
        <v>1973</v>
      </c>
      <c r="E62">
        <v>79</v>
      </c>
      <c r="F62">
        <v>145</v>
      </c>
      <c r="G62">
        <f t="shared" si="3"/>
        <v>0.11516709511568124</v>
      </c>
    </row>
    <row r="71" spans="1:4" ht="12.75">
      <c r="A71" t="s">
        <v>17</v>
      </c>
      <c r="B71" t="s">
        <v>110</v>
      </c>
      <c r="C71" s="3"/>
      <c r="D71" s="3"/>
    </row>
    <row r="73" spans="1:7" ht="12.75">
      <c r="A73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</row>
    <row r="74" spans="1:7" ht="12.75">
      <c r="A74">
        <v>80</v>
      </c>
      <c r="B74">
        <f aca="true" t="shared" si="4" ref="B74:B82">(A74+13.5822)/115.6017</f>
        <v>0.8095226973305756</v>
      </c>
      <c r="C74">
        <v>36468</v>
      </c>
      <c r="D74">
        <v>1956</v>
      </c>
      <c r="E74">
        <v>517</v>
      </c>
      <c r="F74">
        <v>1096</v>
      </c>
      <c r="G74">
        <f aca="true" t="shared" si="5" ref="G74:G82">(E74+F74)/(D74-14*2)</f>
        <v>0.8366182572614108</v>
      </c>
    </row>
    <row r="75" spans="1:7" ht="12.75">
      <c r="A75">
        <v>90</v>
      </c>
      <c r="B75">
        <f t="shared" si="4"/>
        <v>0.8960266155255503</v>
      </c>
      <c r="C75">
        <v>33948</v>
      </c>
      <c r="D75">
        <v>1884</v>
      </c>
      <c r="E75">
        <v>481</v>
      </c>
      <c r="F75">
        <v>1042</v>
      </c>
      <c r="G75">
        <f t="shared" si="5"/>
        <v>0.8205818965517241</v>
      </c>
    </row>
    <row r="76" spans="1:7" ht="12.75">
      <c r="A76">
        <v>102</v>
      </c>
      <c r="B76">
        <f t="shared" si="4"/>
        <v>0.9998313173595198</v>
      </c>
      <c r="C76">
        <v>30569</v>
      </c>
      <c r="D76">
        <v>1927</v>
      </c>
      <c r="E76">
        <v>467</v>
      </c>
      <c r="F76">
        <v>1008</v>
      </c>
      <c r="G76">
        <f t="shared" si="5"/>
        <v>0.7767245918904687</v>
      </c>
    </row>
    <row r="77" spans="1:7" ht="12.75">
      <c r="A77">
        <v>120</v>
      </c>
      <c r="B77">
        <f t="shared" si="4"/>
        <v>1.1555383701104742</v>
      </c>
      <c r="C77">
        <v>26836</v>
      </c>
      <c r="D77">
        <v>2053</v>
      </c>
      <c r="E77">
        <v>418</v>
      </c>
      <c r="F77">
        <v>960</v>
      </c>
      <c r="G77">
        <f t="shared" si="5"/>
        <v>0.6804938271604938</v>
      </c>
    </row>
    <row r="78" spans="1:7" ht="12.75">
      <c r="A78">
        <v>150</v>
      </c>
      <c r="B78">
        <f t="shared" si="4"/>
        <v>1.4150501246953981</v>
      </c>
      <c r="C78">
        <v>20598</v>
      </c>
      <c r="D78">
        <v>1928</v>
      </c>
      <c r="E78">
        <v>330</v>
      </c>
      <c r="F78">
        <v>746</v>
      </c>
      <c r="G78">
        <f t="shared" si="5"/>
        <v>0.5663157894736842</v>
      </c>
    </row>
    <row r="79" spans="1:7" ht="12.75">
      <c r="A79">
        <v>180</v>
      </c>
      <c r="B79">
        <f t="shared" si="4"/>
        <v>1.674561879280322</v>
      </c>
      <c r="C79">
        <v>16287</v>
      </c>
      <c r="D79">
        <v>1941</v>
      </c>
      <c r="E79">
        <v>210</v>
      </c>
      <c r="F79">
        <v>493</v>
      </c>
      <c r="G79">
        <f t="shared" si="5"/>
        <v>0.36748562467328805</v>
      </c>
    </row>
    <row r="80" spans="1:7" ht="12.75">
      <c r="A80">
        <v>210</v>
      </c>
      <c r="B80">
        <f t="shared" si="4"/>
        <v>1.934073633865246</v>
      </c>
      <c r="C80">
        <v>12363</v>
      </c>
      <c r="D80">
        <v>1935</v>
      </c>
      <c r="E80">
        <v>137</v>
      </c>
      <c r="F80">
        <v>320</v>
      </c>
      <c r="G80">
        <f t="shared" si="5"/>
        <v>0.23964341898269534</v>
      </c>
    </row>
    <row r="81" spans="1:7" ht="12.75">
      <c r="A81">
        <v>240</v>
      </c>
      <c r="B81">
        <f t="shared" si="4"/>
        <v>2.19358538845017</v>
      </c>
      <c r="C81">
        <v>9474</v>
      </c>
      <c r="D81">
        <v>1973</v>
      </c>
      <c r="E81">
        <v>107</v>
      </c>
      <c r="F81">
        <v>228</v>
      </c>
      <c r="G81">
        <f t="shared" si="5"/>
        <v>0.17223650385604114</v>
      </c>
    </row>
    <row r="82" spans="1:7" ht="12.75">
      <c r="A82">
        <v>270</v>
      </c>
      <c r="B82">
        <f t="shared" si="4"/>
        <v>2.453097143035094</v>
      </c>
      <c r="C82">
        <v>7430</v>
      </c>
      <c r="D82">
        <v>1943</v>
      </c>
      <c r="E82">
        <v>62</v>
      </c>
      <c r="F82">
        <v>127</v>
      </c>
      <c r="G82">
        <f t="shared" si="5"/>
        <v>0.09869451697127937</v>
      </c>
    </row>
    <row r="89" spans="1:4" ht="12.75">
      <c r="A89" t="s">
        <v>16</v>
      </c>
      <c r="B89" t="s">
        <v>100</v>
      </c>
      <c r="C89" s="3"/>
      <c r="D89" s="3"/>
    </row>
    <row r="91" spans="1:7" ht="12.7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</row>
    <row r="92" spans="1:7" ht="12.75">
      <c r="A92">
        <v>102</v>
      </c>
      <c r="B92" s="18">
        <f aca="true" t="shared" si="6" ref="B92:B99">(A92+13.5822)/115.6017</f>
        <v>0.9998313173595198</v>
      </c>
      <c r="C92" s="18">
        <v>37652</v>
      </c>
      <c r="D92" s="18">
        <v>1954</v>
      </c>
      <c r="E92" s="18">
        <v>526</v>
      </c>
      <c r="F92" s="18">
        <v>1112</v>
      </c>
      <c r="G92">
        <f aca="true" t="shared" si="7" ref="G92:G99">(E92+F92)/(D92-14*2)</f>
        <v>0.8504672897196262</v>
      </c>
    </row>
    <row r="93" spans="1:7" ht="12.75">
      <c r="A93">
        <v>120</v>
      </c>
      <c r="B93">
        <f t="shared" si="6"/>
        <v>1.1555383701104742</v>
      </c>
      <c r="C93">
        <v>60848</v>
      </c>
      <c r="D93">
        <v>2003</v>
      </c>
      <c r="E93">
        <v>523</v>
      </c>
      <c r="F93">
        <v>1098</v>
      </c>
      <c r="G93">
        <f t="shared" si="7"/>
        <v>0.8207594936708861</v>
      </c>
    </row>
    <row r="94" spans="1:7" ht="12.75">
      <c r="A94">
        <v>150</v>
      </c>
      <c r="B94">
        <f t="shared" si="6"/>
        <v>1.4150501246953981</v>
      </c>
      <c r="C94">
        <v>173737</v>
      </c>
      <c r="D94">
        <v>1932</v>
      </c>
      <c r="E94">
        <v>384</v>
      </c>
      <c r="F94">
        <v>881</v>
      </c>
      <c r="G94">
        <f t="shared" si="7"/>
        <v>0.664390756302521</v>
      </c>
    </row>
    <row r="95" spans="1:7" ht="12.75">
      <c r="A95">
        <v>180</v>
      </c>
      <c r="B95">
        <f t="shared" si="6"/>
        <v>1.674561879280322</v>
      </c>
      <c r="C95">
        <v>34218</v>
      </c>
      <c r="D95">
        <v>1971</v>
      </c>
      <c r="E95">
        <v>379</v>
      </c>
      <c r="F95">
        <v>768</v>
      </c>
      <c r="G95">
        <f t="shared" si="7"/>
        <v>0.5903242408646423</v>
      </c>
    </row>
    <row r="96" spans="1:7" ht="12.75">
      <c r="A96">
        <v>210</v>
      </c>
      <c r="B96">
        <f t="shared" si="6"/>
        <v>1.934073633865246</v>
      </c>
      <c r="C96">
        <v>17390</v>
      </c>
      <c r="D96">
        <v>1912</v>
      </c>
      <c r="E96">
        <v>236</v>
      </c>
      <c r="F96">
        <v>540</v>
      </c>
      <c r="G96">
        <f t="shared" si="7"/>
        <v>0.4118895966029724</v>
      </c>
    </row>
    <row r="97" spans="1:7" ht="12.75">
      <c r="A97">
        <v>240</v>
      </c>
      <c r="B97">
        <f t="shared" si="6"/>
        <v>2.19358538845017</v>
      </c>
      <c r="C97">
        <v>13942</v>
      </c>
      <c r="D97">
        <v>1883</v>
      </c>
      <c r="E97">
        <v>163</v>
      </c>
      <c r="F97">
        <v>367</v>
      </c>
      <c r="G97">
        <f t="shared" si="7"/>
        <v>0.2857142857142857</v>
      </c>
    </row>
    <row r="98" spans="1:7" ht="12.75">
      <c r="A98">
        <v>270</v>
      </c>
      <c r="B98">
        <f t="shared" si="6"/>
        <v>2.453097143035094</v>
      </c>
      <c r="C98">
        <v>10745</v>
      </c>
      <c r="D98">
        <v>1992</v>
      </c>
      <c r="E98">
        <v>111</v>
      </c>
      <c r="F98">
        <v>264</v>
      </c>
      <c r="G98">
        <f t="shared" si="7"/>
        <v>0.1909368635437882</v>
      </c>
    </row>
    <row r="99" spans="1:7" ht="12.75">
      <c r="A99">
        <v>300</v>
      </c>
      <c r="B99">
        <f t="shared" si="6"/>
        <v>2.712608897620018</v>
      </c>
      <c r="C99" s="18">
        <v>9110</v>
      </c>
      <c r="D99" s="18">
        <v>1913</v>
      </c>
      <c r="E99" s="18">
        <v>75</v>
      </c>
      <c r="F99" s="18">
        <v>164</v>
      </c>
      <c r="G99" s="18">
        <f t="shared" si="7"/>
        <v>0.12679045092838195</v>
      </c>
    </row>
    <row r="100" spans="3:7" ht="12.75">
      <c r="C100" s="18"/>
      <c r="D100" s="18"/>
      <c r="E100" s="18"/>
      <c r="F100" s="18"/>
      <c r="G100" s="18"/>
    </row>
    <row r="107" spans="1:4" ht="12.75">
      <c r="A107" t="s">
        <v>18</v>
      </c>
      <c r="B107" t="s">
        <v>111</v>
      </c>
      <c r="C107" s="3"/>
      <c r="D107" s="3"/>
    </row>
    <row r="109" spans="1:7" ht="12.75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</row>
    <row r="110" spans="1:7" ht="12.75">
      <c r="A110">
        <v>102</v>
      </c>
      <c r="B110">
        <f aca="true" t="shared" si="8" ref="B110:B116">(A110+13.5822)/115.6017</f>
        <v>0.9998313173595198</v>
      </c>
      <c r="C110">
        <v>296221</v>
      </c>
      <c r="D110">
        <v>1937</v>
      </c>
      <c r="E110">
        <v>562</v>
      </c>
      <c r="F110">
        <v>1163</v>
      </c>
      <c r="G110" s="18">
        <f aca="true" t="shared" si="9" ref="G110:G116">(E110+F110)/(D110-14*2)</f>
        <v>0.9036144578313253</v>
      </c>
    </row>
    <row r="111" spans="1:7" ht="12.75">
      <c r="A111">
        <v>150</v>
      </c>
      <c r="B111">
        <f t="shared" si="8"/>
        <v>1.4150501246953981</v>
      </c>
      <c r="C111">
        <v>174576</v>
      </c>
      <c r="D111">
        <v>1958</v>
      </c>
      <c r="E111">
        <v>440</v>
      </c>
      <c r="F111">
        <v>995</v>
      </c>
      <c r="G111" s="18">
        <f t="shared" si="9"/>
        <v>0.7435233160621761</v>
      </c>
    </row>
    <row r="112" spans="1:7" ht="12.75">
      <c r="A112">
        <v>180</v>
      </c>
      <c r="B112">
        <f t="shared" si="8"/>
        <v>1.674561879280322</v>
      </c>
      <c r="C112">
        <v>52553</v>
      </c>
      <c r="D112">
        <v>1890</v>
      </c>
      <c r="E112">
        <v>391</v>
      </c>
      <c r="F112">
        <v>874</v>
      </c>
      <c r="G112" s="18">
        <f t="shared" si="9"/>
        <v>0.6793770139634802</v>
      </c>
    </row>
    <row r="113" spans="1:7" ht="12.75">
      <c r="A113">
        <v>210</v>
      </c>
      <c r="B113">
        <f t="shared" si="8"/>
        <v>1.934073633865246</v>
      </c>
      <c r="C113">
        <v>127373</v>
      </c>
      <c r="D113">
        <v>1897</v>
      </c>
      <c r="E113">
        <v>304</v>
      </c>
      <c r="F113">
        <v>669</v>
      </c>
      <c r="G113" s="18">
        <f t="shared" si="9"/>
        <v>0.5205992509363296</v>
      </c>
    </row>
    <row r="114" spans="1:7" ht="12.75">
      <c r="A114">
        <v>240</v>
      </c>
      <c r="B114">
        <f t="shared" si="8"/>
        <v>2.19358538845017</v>
      </c>
      <c r="C114">
        <v>57564</v>
      </c>
      <c r="D114">
        <v>1917</v>
      </c>
      <c r="E114">
        <v>259</v>
      </c>
      <c r="F114">
        <v>533</v>
      </c>
      <c r="G114" s="18">
        <f t="shared" si="9"/>
        <v>0.41926945473795657</v>
      </c>
    </row>
    <row r="115" spans="1:7" ht="12.75">
      <c r="A115">
        <v>270</v>
      </c>
      <c r="B115">
        <f t="shared" si="8"/>
        <v>2.453097143035094</v>
      </c>
      <c r="C115">
        <v>46177</v>
      </c>
      <c r="D115">
        <v>1956</v>
      </c>
      <c r="E115">
        <v>158</v>
      </c>
      <c r="F115">
        <v>377</v>
      </c>
      <c r="G115" s="18">
        <f t="shared" si="9"/>
        <v>0.2774896265560166</v>
      </c>
    </row>
    <row r="116" spans="1:7" ht="12.75">
      <c r="A116">
        <v>300</v>
      </c>
      <c r="B116">
        <f t="shared" si="8"/>
        <v>2.712608897620018</v>
      </c>
      <c r="C116">
        <v>35776</v>
      </c>
      <c r="D116">
        <v>1893</v>
      </c>
      <c r="E116">
        <v>134</v>
      </c>
      <c r="F116">
        <v>265</v>
      </c>
      <c r="G116" s="18">
        <f t="shared" si="9"/>
        <v>0.21394101876675603</v>
      </c>
    </row>
    <row r="117" ht="12.75">
      <c r="G117" s="18"/>
    </row>
    <row r="123" spans="1:2" ht="12.75">
      <c r="A123" t="s">
        <v>19</v>
      </c>
      <c r="B123" t="s">
        <v>112</v>
      </c>
    </row>
    <row r="125" spans="1:7" ht="12.7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</row>
    <row r="126" spans="1:2" ht="12.75">
      <c r="A126">
        <v>102</v>
      </c>
      <c r="B126">
        <f aca="true" t="shared" si="10" ref="B126:B131">(A126+13.5822)/115.6017</f>
        <v>0.9998313173595198</v>
      </c>
    </row>
    <row r="127" spans="1:7" ht="12.75">
      <c r="A127">
        <v>210</v>
      </c>
      <c r="B127">
        <f t="shared" si="10"/>
        <v>1.934073633865246</v>
      </c>
      <c r="G127" s="18"/>
    </row>
    <row r="128" spans="1:7" ht="12.75">
      <c r="A128">
        <v>240</v>
      </c>
      <c r="B128">
        <f t="shared" si="10"/>
        <v>2.19358538845017</v>
      </c>
      <c r="G128" s="18"/>
    </row>
    <row r="129" spans="1:7" ht="12.75">
      <c r="A129">
        <v>270</v>
      </c>
      <c r="B129">
        <f t="shared" si="10"/>
        <v>2.453097143035094</v>
      </c>
      <c r="G129" s="18"/>
    </row>
    <row r="130" spans="1:7" ht="12.75">
      <c r="A130">
        <v>300</v>
      </c>
      <c r="B130">
        <f t="shared" si="10"/>
        <v>2.712608897620018</v>
      </c>
      <c r="G130" s="18"/>
    </row>
    <row r="131" spans="1:7" ht="12.75">
      <c r="A131">
        <v>330</v>
      </c>
      <c r="B131">
        <f t="shared" si="10"/>
        <v>2.972120652204942</v>
      </c>
      <c r="G131" s="18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17">
      <selection activeCell="A1" sqref="A1:G131"/>
    </sheetView>
  </sheetViews>
  <sheetFormatPr defaultColWidth="9.140625" defaultRowHeight="12.75"/>
  <cols>
    <col min="1" max="1" width="10.8515625" style="0" customWidth="1"/>
    <col min="7" max="7" width="9.28125" style="0" customWidth="1"/>
  </cols>
  <sheetData>
    <row r="1" ht="12.75">
      <c r="A1" t="s">
        <v>81</v>
      </c>
    </row>
    <row r="2" spans="1:3" ht="12.75">
      <c r="A2" t="s">
        <v>69</v>
      </c>
      <c r="B2" t="s">
        <v>45</v>
      </c>
      <c r="C2" t="s">
        <v>62</v>
      </c>
    </row>
    <row r="3" spans="1:3" ht="12.75">
      <c r="A3">
        <v>40</v>
      </c>
      <c r="B3">
        <f>G19</f>
        <v>0.11707566462167689</v>
      </c>
      <c r="C3">
        <f>N18</f>
        <v>0</v>
      </c>
    </row>
    <row r="4" spans="1:3" ht="12.75">
      <c r="A4">
        <v>60</v>
      </c>
      <c r="B4">
        <f>G30</f>
        <v>0.2857142857142857</v>
      </c>
      <c r="C4">
        <f>N30</f>
        <v>0</v>
      </c>
    </row>
    <row r="5" spans="1:3" ht="12.75">
      <c r="A5">
        <v>80</v>
      </c>
      <c r="B5">
        <f>G44</f>
        <v>0.48873390557939916</v>
      </c>
      <c r="C5">
        <f>N44</f>
        <v>0</v>
      </c>
    </row>
    <row r="6" spans="1:3" ht="12.75">
      <c r="A6">
        <v>100</v>
      </c>
      <c r="B6">
        <f>G58</f>
        <v>0.6328042328042328</v>
      </c>
      <c r="C6">
        <f>N60</f>
        <v>0</v>
      </c>
    </row>
    <row r="7" spans="1:3" ht="12.75">
      <c r="A7">
        <v>150</v>
      </c>
      <c r="B7">
        <f>G76</f>
        <v>0.7525933609958506</v>
      </c>
      <c r="C7">
        <f>N82</f>
        <v>0</v>
      </c>
    </row>
    <row r="8" spans="1:3" ht="12.75">
      <c r="A8">
        <v>200</v>
      </c>
      <c r="B8">
        <f>G92</f>
        <v>0.8627243928194298</v>
      </c>
      <c r="C8">
        <f>N96</f>
        <v>0</v>
      </c>
    </row>
    <row r="9" spans="1:3" ht="12.75">
      <c r="A9">
        <v>250</v>
      </c>
      <c r="B9">
        <f>G110</f>
        <v>0.990174672489083</v>
      </c>
      <c r="C9">
        <f>N116</f>
        <v>0</v>
      </c>
    </row>
    <row r="10" spans="1:3" ht="12.75">
      <c r="A10">
        <v>300</v>
      </c>
      <c r="B10">
        <f>G126</f>
        <v>0</v>
      </c>
      <c r="C10">
        <f>N130</f>
        <v>0</v>
      </c>
    </row>
    <row r="14" spans="1:2" ht="12.75">
      <c r="A14" t="s">
        <v>7</v>
      </c>
      <c r="B14" t="s">
        <v>113</v>
      </c>
    </row>
    <row r="16" spans="1:7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</row>
    <row r="17" spans="1:7" ht="12.75">
      <c r="A17">
        <v>80</v>
      </c>
      <c r="B17">
        <f>(A17+13.5822)/115.6017</f>
        <v>0.8095226973305756</v>
      </c>
      <c r="C17">
        <v>14343</v>
      </c>
      <c r="D17">
        <v>1965</v>
      </c>
      <c r="E17">
        <v>136</v>
      </c>
      <c r="F17">
        <v>368</v>
      </c>
      <c r="G17">
        <f>(E17+F17)/(D17-14*2)</f>
        <v>0.2601961796592669</v>
      </c>
    </row>
    <row r="18" spans="1:7" ht="12.75">
      <c r="A18">
        <v>90</v>
      </c>
      <c r="B18">
        <f>(A18+13.5822)/115.6017</f>
        <v>0.8960266155255503</v>
      </c>
      <c r="C18">
        <v>9461</v>
      </c>
      <c r="D18">
        <v>2037</v>
      </c>
      <c r="E18">
        <v>120</v>
      </c>
      <c r="F18">
        <v>263</v>
      </c>
      <c r="G18">
        <f>(E18+F18)/(D18-14*2)</f>
        <v>0.1906421105027377</v>
      </c>
    </row>
    <row r="19" spans="1:7" ht="12.75">
      <c r="A19" s="1">
        <v>102</v>
      </c>
      <c r="B19">
        <f>(A19+13.5822)/115.6017</f>
        <v>0.9998313173595198</v>
      </c>
      <c r="C19" s="1">
        <v>7044</v>
      </c>
      <c r="D19" s="1">
        <v>1984</v>
      </c>
      <c r="E19" s="1">
        <v>68</v>
      </c>
      <c r="F19" s="1">
        <v>161</v>
      </c>
      <c r="G19">
        <f>(E19+F19)/(D19-14*2)</f>
        <v>0.11707566462167689</v>
      </c>
    </row>
    <row r="20" spans="1:7" ht="12.75">
      <c r="A20">
        <v>120</v>
      </c>
      <c r="B20">
        <f>(A20+13.5822)/115.6017</f>
        <v>1.1555383701104742</v>
      </c>
      <c r="C20" s="1">
        <v>5249</v>
      </c>
      <c r="D20" s="1">
        <v>1922</v>
      </c>
      <c r="E20" s="1">
        <v>56</v>
      </c>
      <c r="F20" s="1">
        <v>96</v>
      </c>
      <c r="G20">
        <f>(E20+F20)/(D20-14*2)</f>
        <v>0.08025343189017951</v>
      </c>
    </row>
    <row r="21" spans="3:6" ht="12.75">
      <c r="C21" s="1"/>
      <c r="D21" s="1"/>
      <c r="E21" s="1"/>
      <c r="F21" s="1"/>
    </row>
    <row r="25" spans="1:2" ht="12.75">
      <c r="A25" t="s">
        <v>9</v>
      </c>
      <c r="B25" t="s">
        <v>115</v>
      </c>
    </row>
    <row r="27" spans="1:7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</row>
    <row r="28" spans="1:7" ht="12.75">
      <c r="A28">
        <v>80</v>
      </c>
      <c r="B28">
        <f>(A28+13.5822)/115.6017</f>
        <v>0.8095226973305756</v>
      </c>
      <c r="C28">
        <v>19980</v>
      </c>
      <c r="D28">
        <v>1910</v>
      </c>
      <c r="E28">
        <v>261</v>
      </c>
      <c r="F28">
        <v>639</v>
      </c>
      <c r="G28">
        <f>(E28+F28)/(D28-14*2)</f>
        <v>0.4782146652497343</v>
      </c>
    </row>
    <row r="29" spans="1:7" ht="12.75">
      <c r="A29">
        <v>90</v>
      </c>
      <c r="B29">
        <f>(A29+13.5822)/115.6017</f>
        <v>0.8960266155255503</v>
      </c>
      <c r="C29">
        <v>14753</v>
      </c>
      <c r="D29">
        <v>1923</v>
      </c>
      <c r="E29">
        <v>192</v>
      </c>
      <c r="F29">
        <v>497</v>
      </c>
      <c r="G29">
        <f>(E29+F29)/(D29-14*2)</f>
        <v>0.36358839050131925</v>
      </c>
    </row>
    <row r="30" spans="1:7" ht="12.75">
      <c r="A30" s="1">
        <v>102</v>
      </c>
      <c r="B30">
        <f>(A30+13.5822)/115.6017</f>
        <v>0.9998313173595198</v>
      </c>
      <c r="C30">
        <v>12051</v>
      </c>
      <c r="D30">
        <v>1932</v>
      </c>
      <c r="E30">
        <v>142</v>
      </c>
      <c r="F30">
        <v>402</v>
      </c>
      <c r="G30">
        <f>(E30+F30)/(D30-14*2)</f>
        <v>0.2857142857142857</v>
      </c>
    </row>
    <row r="31" spans="1:7" ht="12.75">
      <c r="A31">
        <v>120</v>
      </c>
      <c r="B31">
        <f>(A31+13.5822)/115.6017</f>
        <v>1.1555383701104742</v>
      </c>
      <c r="C31">
        <v>9132</v>
      </c>
      <c r="D31">
        <v>1991</v>
      </c>
      <c r="E31">
        <v>98</v>
      </c>
      <c r="F31">
        <v>258</v>
      </c>
      <c r="G31">
        <f>(E31+F31)/(D31-14*2)</f>
        <v>0.18135506877228733</v>
      </c>
    </row>
    <row r="32" spans="1:7" ht="12.75">
      <c r="A32">
        <v>150</v>
      </c>
      <c r="B32">
        <f>(A32+13.5822)/115.6017</f>
        <v>1.4150501246953981</v>
      </c>
      <c r="C32">
        <v>5940</v>
      </c>
      <c r="D32">
        <v>1892</v>
      </c>
      <c r="E32">
        <v>58</v>
      </c>
      <c r="F32">
        <v>134</v>
      </c>
      <c r="G32">
        <f>(E32+F32)/(D32-14*2)</f>
        <v>0.10300429184549356</v>
      </c>
    </row>
    <row r="39" spans="1:2" ht="12.75">
      <c r="A39" t="s">
        <v>11</v>
      </c>
      <c r="B39" t="s">
        <v>114</v>
      </c>
    </row>
    <row r="41" spans="1:7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</row>
    <row r="42" spans="1:7" ht="12.75">
      <c r="A42">
        <v>80</v>
      </c>
      <c r="B42">
        <f aca="true" t="shared" si="0" ref="B42:B47">(A42+13.5822)/115.6017</f>
        <v>0.8095226973305756</v>
      </c>
      <c r="C42">
        <v>25142</v>
      </c>
      <c r="D42">
        <v>1893</v>
      </c>
      <c r="E42">
        <v>391</v>
      </c>
      <c r="F42">
        <v>901</v>
      </c>
      <c r="G42">
        <f aca="true" t="shared" si="1" ref="G42:G47">(E42+F42)/(D42-14*2)</f>
        <v>0.6927613941018766</v>
      </c>
    </row>
    <row r="43" spans="1:7" ht="12.75">
      <c r="A43">
        <v>90</v>
      </c>
      <c r="B43">
        <f t="shared" si="0"/>
        <v>0.8960266155255503</v>
      </c>
      <c r="C43">
        <v>20819</v>
      </c>
      <c r="D43">
        <v>1920</v>
      </c>
      <c r="E43">
        <v>315</v>
      </c>
      <c r="F43">
        <v>790</v>
      </c>
      <c r="G43">
        <f t="shared" si="1"/>
        <v>0.5840380549682875</v>
      </c>
    </row>
    <row r="44" spans="1:7" ht="12.75">
      <c r="A44" s="1">
        <v>102</v>
      </c>
      <c r="B44">
        <f t="shared" si="0"/>
        <v>0.9998313173595198</v>
      </c>
      <c r="C44">
        <v>17362</v>
      </c>
      <c r="D44">
        <v>1892</v>
      </c>
      <c r="E44">
        <v>255</v>
      </c>
      <c r="F44">
        <v>656</v>
      </c>
      <c r="G44">
        <f t="shared" si="1"/>
        <v>0.48873390557939916</v>
      </c>
    </row>
    <row r="45" spans="1:7" ht="12.75">
      <c r="A45">
        <v>120</v>
      </c>
      <c r="B45">
        <f t="shared" si="0"/>
        <v>1.1555383701104742</v>
      </c>
      <c r="C45">
        <v>13516</v>
      </c>
      <c r="D45">
        <v>1953</v>
      </c>
      <c r="E45">
        <v>183</v>
      </c>
      <c r="F45">
        <v>484</v>
      </c>
      <c r="G45">
        <f t="shared" si="1"/>
        <v>0.3464935064935065</v>
      </c>
    </row>
    <row r="46" spans="1:7" ht="12.75">
      <c r="A46">
        <v>150</v>
      </c>
      <c r="B46">
        <f>(A46+13.5822)/115.6017</f>
        <v>1.4150501246953981</v>
      </c>
      <c r="C46">
        <v>9226</v>
      </c>
      <c r="D46">
        <v>1937</v>
      </c>
      <c r="E46">
        <v>93</v>
      </c>
      <c r="F46">
        <v>230</v>
      </c>
      <c r="G46">
        <f t="shared" si="1"/>
        <v>0.16919853326348874</v>
      </c>
    </row>
    <row r="47" spans="1:7" ht="12.75">
      <c r="A47">
        <v>180</v>
      </c>
      <c r="B47">
        <f t="shared" si="0"/>
        <v>1.674561879280322</v>
      </c>
      <c r="C47">
        <v>6429</v>
      </c>
      <c r="D47">
        <v>1925</v>
      </c>
      <c r="E47">
        <v>56</v>
      </c>
      <c r="F47">
        <v>132</v>
      </c>
      <c r="G47">
        <f t="shared" si="1"/>
        <v>0.09910384818133895</v>
      </c>
    </row>
    <row r="53" spans="1:2" ht="12.75">
      <c r="A53" t="s">
        <v>13</v>
      </c>
      <c r="B53" t="s">
        <v>116</v>
      </c>
    </row>
    <row r="55" spans="1:7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</row>
    <row r="56" spans="1:7" ht="12.75">
      <c r="A56">
        <v>80</v>
      </c>
      <c r="B56">
        <f aca="true" t="shared" si="2" ref="B56:B62">(A56+13.5822)/115.6017</f>
        <v>0.8095226973305756</v>
      </c>
      <c r="C56">
        <v>28314</v>
      </c>
      <c r="D56">
        <v>1931</v>
      </c>
      <c r="E56">
        <v>402</v>
      </c>
      <c r="F56">
        <v>1012</v>
      </c>
      <c r="G56">
        <f aca="true" t="shared" si="3" ref="G56:G62">(E56+F56)/(D56-14*2)</f>
        <v>0.743037309511298</v>
      </c>
    </row>
    <row r="57" spans="1:7" ht="12.75">
      <c r="A57">
        <v>90</v>
      </c>
      <c r="B57">
        <f t="shared" si="2"/>
        <v>0.8960266155255503</v>
      </c>
      <c r="C57">
        <v>24519</v>
      </c>
      <c r="D57">
        <v>1869</v>
      </c>
      <c r="E57">
        <v>385</v>
      </c>
      <c r="F57">
        <v>875</v>
      </c>
      <c r="G57">
        <f t="shared" si="3"/>
        <v>0.6844106463878327</v>
      </c>
    </row>
    <row r="58" spans="1:7" ht="12.75">
      <c r="A58">
        <v>102</v>
      </c>
      <c r="B58">
        <f t="shared" si="2"/>
        <v>0.9998313173595198</v>
      </c>
      <c r="C58">
        <v>21765</v>
      </c>
      <c r="D58">
        <v>1918</v>
      </c>
      <c r="E58">
        <v>341</v>
      </c>
      <c r="F58">
        <v>855</v>
      </c>
      <c r="G58">
        <f t="shared" si="3"/>
        <v>0.6328042328042328</v>
      </c>
    </row>
    <row r="59" spans="1:7" ht="12.75">
      <c r="A59">
        <v>120</v>
      </c>
      <c r="B59">
        <f t="shared" si="2"/>
        <v>1.1555383701104742</v>
      </c>
      <c r="C59">
        <v>17818</v>
      </c>
      <c r="D59">
        <v>1941</v>
      </c>
      <c r="E59">
        <v>234</v>
      </c>
      <c r="F59">
        <v>659</v>
      </c>
      <c r="G59">
        <f t="shared" si="3"/>
        <v>0.46680606377417666</v>
      </c>
    </row>
    <row r="60" spans="1:7" ht="12.75">
      <c r="A60">
        <v>150</v>
      </c>
      <c r="B60">
        <f t="shared" si="2"/>
        <v>1.4150501246953981</v>
      </c>
      <c r="C60">
        <v>12515</v>
      </c>
      <c r="D60">
        <v>1995</v>
      </c>
      <c r="E60">
        <v>159</v>
      </c>
      <c r="F60">
        <v>368</v>
      </c>
      <c r="G60">
        <f t="shared" si="3"/>
        <v>0.2679206914082359</v>
      </c>
    </row>
    <row r="61" spans="1:7" ht="12.75">
      <c r="A61">
        <v>180</v>
      </c>
      <c r="B61">
        <f t="shared" si="2"/>
        <v>1.674561879280322</v>
      </c>
      <c r="C61">
        <v>12246</v>
      </c>
      <c r="D61">
        <v>1897</v>
      </c>
      <c r="E61">
        <v>92</v>
      </c>
      <c r="F61">
        <v>213</v>
      </c>
      <c r="G61">
        <f t="shared" si="3"/>
        <v>0.1631888710540396</v>
      </c>
    </row>
    <row r="62" spans="1:7" ht="12.75">
      <c r="A62">
        <v>210</v>
      </c>
      <c r="B62">
        <f t="shared" si="2"/>
        <v>1.934073633865246</v>
      </c>
      <c r="C62">
        <v>6606</v>
      </c>
      <c r="D62">
        <v>1939</v>
      </c>
      <c r="E62">
        <v>64</v>
      </c>
      <c r="F62">
        <v>130</v>
      </c>
      <c r="G62">
        <f t="shared" si="3"/>
        <v>0.10151753008895865</v>
      </c>
    </row>
    <row r="71" spans="1:4" ht="12.75">
      <c r="A71" t="s">
        <v>17</v>
      </c>
      <c r="B71" t="s">
        <v>117</v>
      </c>
      <c r="C71" s="3"/>
      <c r="D71" s="3"/>
    </row>
    <row r="73" spans="1:7" ht="12.75">
      <c r="A73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</row>
    <row r="74" spans="1:7" ht="12.75">
      <c r="A74">
        <v>80</v>
      </c>
      <c r="B74">
        <f aca="true" t="shared" si="4" ref="B74:B82">(A74+13.5822)/115.6017</f>
        <v>0.8095226973305756</v>
      </c>
      <c r="C74">
        <v>36583</v>
      </c>
      <c r="D74">
        <v>1975</v>
      </c>
      <c r="E74">
        <v>544</v>
      </c>
      <c r="F74">
        <v>1168</v>
      </c>
      <c r="G74">
        <f aca="true" t="shared" si="5" ref="G74:G82">(E74+F74)/(D74-14*2)</f>
        <v>0.879301489470981</v>
      </c>
    </row>
    <row r="75" spans="1:7" ht="12.75">
      <c r="A75">
        <v>90</v>
      </c>
      <c r="B75">
        <f t="shared" si="4"/>
        <v>0.8960266155255503</v>
      </c>
      <c r="C75">
        <v>33366</v>
      </c>
      <c r="D75">
        <v>1914</v>
      </c>
      <c r="E75">
        <v>451</v>
      </c>
      <c r="F75">
        <v>1029</v>
      </c>
      <c r="G75">
        <f t="shared" si="5"/>
        <v>0.7847295864262991</v>
      </c>
    </row>
    <row r="76" spans="1:7" ht="12.75">
      <c r="A76">
        <v>102</v>
      </c>
      <c r="B76">
        <f t="shared" si="4"/>
        <v>0.9998313173595198</v>
      </c>
      <c r="C76">
        <v>29410</v>
      </c>
      <c r="D76">
        <v>1956</v>
      </c>
      <c r="E76">
        <v>406</v>
      </c>
      <c r="F76">
        <v>1045</v>
      </c>
      <c r="G76">
        <f t="shared" si="5"/>
        <v>0.7525933609958506</v>
      </c>
    </row>
    <row r="77" spans="1:7" ht="12.75">
      <c r="A77">
        <v>120</v>
      </c>
      <c r="B77">
        <f t="shared" si="4"/>
        <v>1.1555383701104742</v>
      </c>
      <c r="C77">
        <v>25888</v>
      </c>
      <c r="D77">
        <v>1885</v>
      </c>
      <c r="E77">
        <v>395</v>
      </c>
      <c r="F77">
        <v>910</v>
      </c>
      <c r="G77">
        <f t="shared" si="5"/>
        <v>0.7027463651050081</v>
      </c>
    </row>
    <row r="78" spans="1:7" ht="12.75">
      <c r="A78">
        <v>150</v>
      </c>
      <c r="B78">
        <f t="shared" si="4"/>
        <v>1.4150501246953981</v>
      </c>
      <c r="C78">
        <v>20317</v>
      </c>
      <c r="D78">
        <v>1876</v>
      </c>
      <c r="E78">
        <v>297</v>
      </c>
      <c r="F78">
        <v>719</v>
      </c>
      <c r="G78">
        <f t="shared" si="5"/>
        <v>0.5497835497835498</v>
      </c>
    </row>
    <row r="79" spans="1:7" ht="12.75">
      <c r="A79">
        <v>180</v>
      </c>
      <c r="B79">
        <f t="shared" si="4"/>
        <v>1.674561879280322</v>
      </c>
      <c r="C79">
        <v>15464</v>
      </c>
      <c r="D79">
        <v>1975</v>
      </c>
      <c r="E79">
        <v>184</v>
      </c>
      <c r="F79">
        <v>492</v>
      </c>
      <c r="G79">
        <f t="shared" si="5"/>
        <v>0.34720082177709294</v>
      </c>
    </row>
    <row r="80" spans="1:7" ht="12.75">
      <c r="A80">
        <v>210</v>
      </c>
      <c r="B80">
        <f t="shared" si="4"/>
        <v>1.934073633865246</v>
      </c>
      <c r="C80">
        <v>11695</v>
      </c>
      <c r="D80">
        <v>1931</v>
      </c>
      <c r="E80">
        <v>136</v>
      </c>
      <c r="F80">
        <v>350</v>
      </c>
      <c r="G80">
        <f t="shared" si="5"/>
        <v>0.25538623226484497</v>
      </c>
    </row>
    <row r="81" spans="1:7" ht="12.75">
      <c r="A81">
        <v>240</v>
      </c>
      <c r="B81">
        <f t="shared" si="4"/>
        <v>2.19358538845017</v>
      </c>
      <c r="C81">
        <v>9132</v>
      </c>
      <c r="D81">
        <v>1953</v>
      </c>
      <c r="E81">
        <v>96</v>
      </c>
      <c r="F81">
        <v>196</v>
      </c>
      <c r="G81">
        <f t="shared" si="5"/>
        <v>0.15168831168831168</v>
      </c>
    </row>
    <row r="82" spans="1:7" ht="12.75">
      <c r="A82">
        <v>270</v>
      </c>
      <c r="B82">
        <f t="shared" si="4"/>
        <v>2.453097143035094</v>
      </c>
      <c r="C82">
        <v>7467</v>
      </c>
      <c r="D82">
        <v>1909</v>
      </c>
      <c r="E82">
        <v>65</v>
      </c>
      <c r="F82">
        <v>141</v>
      </c>
      <c r="G82">
        <f t="shared" si="5"/>
        <v>0.10951621477937268</v>
      </c>
    </row>
    <row r="89" spans="1:4" ht="12.75">
      <c r="A89" t="s">
        <v>16</v>
      </c>
      <c r="B89" t="s">
        <v>94</v>
      </c>
      <c r="C89" s="3"/>
      <c r="D89" s="3"/>
    </row>
    <row r="91" spans="1:7" ht="12.7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</row>
    <row r="92" spans="1:7" ht="12.75">
      <c r="A92">
        <v>102</v>
      </c>
      <c r="B92" s="18">
        <f aca="true" t="shared" si="6" ref="B92:B99">(A92+13.5822)/115.6017</f>
        <v>0.9998313173595198</v>
      </c>
      <c r="C92" s="18">
        <v>209103</v>
      </c>
      <c r="D92" s="18">
        <v>1922</v>
      </c>
      <c r="E92" s="18">
        <v>514</v>
      </c>
      <c r="F92" s="18">
        <v>1120</v>
      </c>
      <c r="G92">
        <f aca="true" t="shared" si="7" ref="G92:G99">(E92+F92)/(D92-14*2)</f>
        <v>0.8627243928194298</v>
      </c>
    </row>
    <row r="93" spans="1:7" ht="12.75">
      <c r="A93">
        <v>120</v>
      </c>
      <c r="B93">
        <f t="shared" si="6"/>
        <v>1.1555383701104742</v>
      </c>
      <c r="C93">
        <v>68611</v>
      </c>
      <c r="D93">
        <v>1901</v>
      </c>
      <c r="E93">
        <v>455</v>
      </c>
      <c r="F93">
        <v>1062</v>
      </c>
      <c r="G93">
        <f t="shared" si="7"/>
        <v>0.809930592632141</v>
      </c>
    </row>
    <row r="94" spans="1:7" ht="12.75">
      <c r="A94">
        <v>150</v>
      </c>
      <c r="B94">
        <f t="shared" si="6"/>
        <v>1.4150501246953981</v>
      </c>
      <c r="C94">
        <v>58611</v>
      </c>
      <c r="D94">
        <v>2008</v>
      </c>
      <c r="E94">
        <v>415</v>
      </c>
      <c r="F94">
        <v>930</v>
      </c>
      <c r="G94">
        <f t="shared" si="7"/>
        <v>0.6792929292929293</v>
      </c>
    </row>
    <row r="95" spans="1:7" ht="12.75">
      <c r="A95">
        <v>180</v>
      </c>
      <c r="B95">
        <f t="shared" si="6"/>
        <v>1.674561879280322</v>
      </c>
      <c r="C95">
        <v>47387</v>
      </c>
      <c r="D95">
        <v>1910</v>
      </c>
      <c r="E95">
        <v>328</v>
      </c>
      <c r="F95">
        <v>743</v>
      </c>
      <c r="G95">
        <f t="shared" si="7"/>
        <v>0.5690754516471839</v>
      </c>
    </row>
    <row r="96" spans="1:7" ht="12.75">
      <c r="A96">
        <v>210</v>
      </c>
      <c r="B96">
        <f t="shared" si="6"/>
        <v>1.934073633865246</v>
      </c>
      <c r="C96">
        <v>40606</v>
      </c>
      <c r="D96">
        <v>1972</v>
      </c>
      <c r="E96">
        <v>254</v>
      </c>
      <c r="F96">
        <v>572</v>
      </c>
      <c r="G96">
        <f t="shared" si="7"/>
        <v>0.42489711934156377</v>
      </c>
    </row>
    <row r="97" spans="1:7" ht="12.75">
      <c r="A97">
        <v>240</v>
      </c>
      <c r="B97">
        <f t="shared" si="6"/>
        <v>2.19358538845017</v>
      </c>
      <c r="C97">
        <v>39182</v>
      </c>
      <c r="D97">
        <v>1917</v>
      </c>
      <c r="E97">
        <v>159</v>
      </c>
      <c r="F97">
        <v>358</v>
      </c>
      <c r="G97">
        <f t="shared" si="7"/>
        <v>0.27368978295394386</v>
      </c>
    </row>
    <row r="98" spans="1:7" ht="12.75">
      <c r="A98">
        <v>270</v>
      </c>
      <c r="B98">
        <f t="shared" si="6"/>
        <v>2.453097143035094</v>
      </c>
      <c r="C98">
        <v>13111</v>
      </c>
      <c r="D98">
        <v>1921</v>
      </c>
      <c r="E98">
        <v>98</v>
      </c>
      <c r="F98">
        <v>272</v>
      </c>
      <c r="G98">
        <f t="shared" si="7"/>
        <v>0.19545694664553617</v>
      </c>
    </row>
    <row r="99" spans="1:7" ht="12.75">
      <c r="A99">
        <v>300</v>
      </c>
      <c r="B99">
        <f t="shared" si="6"/>
        <v>2.712608897620018</v>
      </c>
      <c r="C99" s="18">
        <v>20223</v>
      </c>
      <c r="D99" s="18">
        <v>1906</v>
      </c>
      <c r="E99" s="18">
        <v>92</v>
      </c>
      <c r="F99" s="18">
        <v>179</v>
      </c>
      <c r="G99" s="18">
        <f t="shared" si="7"/>
        <v>0.1443024494142705</v>
      </c>
    </row>
    <row r="100" spans="3:7" ht="12.75">
      <c r="C100" s="18"/>
      <c r="D100" s="18"/>
      <c r="E100" s="18"/>
      <c r="F100" s="18"/>
      <c r="G100" s="18"/>
    </row>
    <row r="107" spans="1:4" ht="12.75">
      <c r="A107" t="s">
        <v>18</v>
      </c>
      <c r="B107" t="s">
        <v>118</v>
      </c>
      <c r="C107" s="3"/>
      <c r="D107" s="3"/>
    </row>
    <row r="109" spans="1:7" ht="12.75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</row>
    <row r="110" spans="1:7" ht="12.75">
      <c r="A110">
        <v>102</v>
      </c>
      <c r="B110">
        <f aca="true" t="shared" si="8" ref="B110:B116">(A110+13.5822)/115.6017</f>
        <v>0.9998313173595198</v>
      </c>
      <c r="C110">
        <v>531555</v>
      </c>
      <c r="D110">
        <v>944</v>
      </c>
      <c r="E110">
        <v>303</v>
      </c>
      <c r="F110">
        <v>604</v>
      </c>
      <c r="G110" s="18">
        <f aca="true" t="shared" si="9" ref="G110:G116">(E110+F110)/(D110-14*2)</f>
        <v>0.990174672489083</v>
      </c>
    </row>
    <row r="111" spans="1:7" ht="12.75">
      <c r="A111">
        <v>150</v>
      </c>
      <c r="B111">
        <f t="shared" si="8"/>
        <v>1.4150501246953981</v>
      </c>
      <c r="C111">
        <v>258985</v>
      </c>
      <c r="D111">
        <v>1927</v>
      </c>
      <c r="E111">
        <v>433</v>
      </c>
      <c r="F111">
        <v>988</v>
      </c>
      <c r="G111" s="18">
        <f t="shared" si="9"/>
        <v>0.7482885729331227</v>
      </c>
    </row>
    <row r="112" spans="1:7" ht="12.75">
      <c r="A112">
        <v>180</v>
      </c>
      <c r="B112">
        <f t="shared" si="8"/>
        <v>1.674561879280322</v>
      </c>
      <c r="C112">
        <v>75203</v>
      </c>
      <c r="D112">
        <v>1898</v>
      </c>
      <c r="E112">
        <v>361</v>
      </c>
      <c r="F112">
        <v>846</v>
      </c>
      <c r="G112" s="18">
        <f t="shared" si="9"/>
        <v>0.6454545454545455</v>
      </c>
    </row>
    <row r="113" spans="1:7" ht="12.75">
      <c r="A113">
        <v>210</v>
      </c>
      <c r="B113">
        <f t="shared" si="8"/>
        <v>1.934073633865246</v>
      </c>
      <c r="C113">
        <v>25763</v>
      </c>
      <c r="D113">
        <v>1892</v>
      </c>
      <c r="E113">
        <v>315</v>
      </c>
      <c r="F113">
        <v>697</v>
      </c>
      <c r="G113" s="18">
        <f t="shared" si="9"/>
        <v>0.5429184549356223</v>
      </c>
    </row>
    <row r="114" spans="1:7" ht="12.75">
      <c r="A114">
        <v>240</v>
      </c>
      <c r="B114">
        <f t="shared" si="8"/>
        <v>2.19358538845017</v>
      </c>
      <c r="C114">
        <v>21264</v>
      </c>
      <c r="D114">
        <v>1897</v>
      </c>
      <c r="E114">
        <v>228</v>
      </c>
      <c r="F114">
        <v>498</v>
      </c>
      <c r="G114" s="18">
        <f t="shared" si="9"/>
        <v>0.3884430176565008</v>
      </c>
    </row>
    <row r="115" spans="1:7" ht="12.75">
      <c r="A115">
        <v>270</v>
      </c>
      <c r="B115">
        <f t="shared" si="8"/>
        <v>2.453097143035094</v>
      </c>
      <c r="C115">
        <v>1265948</v>
      </c>
      <c r="D115">
        <v>1924</v>
      </c>
      <c r="E115">
        <v>166</v>
      </c>
      <c r="F115">
        <v>373</v>
      </c>
      <c r="G115" s="18">
        <f t="shared" si="9"/>
        <v>0.2842827004219409</v>
      </c>
    </row>
    <row r="116" spans="1:7" ht="12.75">
      <c r="A116">
        <v>300</v>
      </c>
      <c r="B116">
        <f t="shared" si="8"/>
        <v>2.712608897620018</v>
      </c>
      <c r="C116">
        <v>33893</v>
      </c>
      <c r="D116">
        <v>953</v>
      </c>
      <c r="E116">
        <v>72</v>
      </c>
      <c r="F116">
        <v>160</v>
      </c>
      <c r="G116" s="18">
        <f t="shared" si="9"/>
        <v>0.2508108108108108</v>
      </c>
    </row>
    <row r="117" ht="12.75">
      <c r="G117" s="18"/>
    </row>
    <row r="119" ht="12.75">
      <c r="A119" t="s">
        <v>19</v>
      </c>
    </row>
    <row r="121" spans="1:7" ht="12.75">
      <c r="A121" t="s">
        <v>0</v>
      </c>
      <c r="B121" t="s">
        <v>1</v>
      </c>
      <c r="C121" t="s">
        <v>2</v>
      </c>
      <c r="D121" t="s">
        <v>3</v>
      </c>
      <c r="E121" t="s">
        <v>4</v>
      </c>
      <c r="F121" t="s">
        <v>5</v>
      </c>
      <c r="G121" t="s">
        <v>6</v>
      </c>
    </row>
    <row r="122" spans="1:7" ht="12.75">
      <c r="A122">
        <v>102</v>
      </c>
      <c r="B122">
        <f aca="true" t="shared" si="10" ref="B122:B128">(A122+13.5822)/115.6017</f>
        <v>0.9998313173595198</v>
      </c>
      <c r="G122" s="18"/>
    </row>
    <row r="123" spans="1:7" ht="12.75">
      <c r="A123">
        <v>150</v>
      </c>
      <c r="B123">
        <f t="shared" si="10"/>
        <v>1.4150501246953981</v>
      </c>
      <c r="G123" s="18"/>
    </row>
    <row r="124" spans="1:7" ht="12.75">
      <c r="A124">
        <v>180</v>
      </c>
      <c r="B124">
        <f t="shared" si="10"/>
        <v>1.674561879280322</v>
      </c>
      <c r="G124" s="18"/>
    </row>
    <row r="125" spans="1:7" ht="12.75">
      <c r="A125">
        <v>210</v>
      </c>
      <c r="B125">
        <f t="shared" si="10"/>
        <v>1.934073633865246</v>
      </c>
      <c r="G125" s="18"/>
    </row>
    <row r="126" spans="1:7" ht="12.75">
      <c r="A126">
        <v>240</v>
      </c>
      <c r="B126">
        <f t="shared" si="10"/>
        <v>2.19358538845017</v>
      </c>
      <c r="G126" s="18"/>
    </row>
    <row r="127" spans="1:7" ht="12.75">
      <c r="A127">
        <v>270</v>
      </c>
      <c r="B127">
        <f t="shared" si="10"/>
        <v>2.453097143035094</v>
      </c>
      <c r="G127" s="18"/>
    </row>
    <row r="128" spans="1:7" ht="12.75">
      <c r="A128">
        <v>300</v>
      </c>
      <c r="B128">
        <f t="shared" si="10"/>
        <v>2.712608897620018</v>
      </c>
      <c r="G128" s="18"/>
    </row>
    <row r="129" spans="1:7" ht="12.75">
      <c r="A129">
        <v>270</v>
      </c>
      <c r="B129">
        <f>(A129+13.5822)/115.6017</f>
        <v>2.453097143035094</v>
      </c>
      <c r="G129" s="18"/>
    </row>
    <row r="130" spans="1:7" ht="12.75">
      <c r="A130">
        <v>300</v>
      </c>
      <c r="B130">
        <f>(A130+13.5822)/115.6017</f>
        <v>2.712608897620018</v>
      </c>
      <c r="G130" s="18"/>
    </row>
    <row r="131" spans="1:7" ht="12.75">
      <c r="A131">
        <v>330</v>
      </c>
      <c r="B131">
        <f>(A131+13.5822)/115.6017</f>
        <v>2.972120652204942</v>
      </c>
      <c r="G131" s="18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99">
      <selection activeCell="F125" sqref="F125"/>
    </sheetView>
  </sheetViews>
  <sheetFormatPr defaultColWidth="9.140625" defaultRowHeight="12.75"/>
  <cols>
    <col min="1" max="1" width="12.140625" style="0" customWidth="1"/>
  </cols>
  <sheetData>
    <row r="1" ht="12.75">
      <c r="A1" t="s">
        <v>81</v>
      </c>
    </row>
    <row r="2" spans="1:3" ht="12.75">
      <c r="A2" t="s">
        <v>69</v>
      </c>
      <c r="B2" t="s">
        <v>45</v>
      </c>
      <c r="C2" t="s">
        <v>62</v>
      </c>
    </row>
    <row r="3" spans="1:3" ht="12.75">
      <c r="A3">
        <v>40</v>
      </c>
      <c r="B3">
        <f>G19</f>
        <v>0</v>
      </c>
      <c r="C3">
        <f>N18</f>
        <v>0</v>
      </c>
    </row>
    <row r="4" spans="1:3" ht="12.75">
      <c r="A4">
        <v>60</v>
      </c>
      <c r="B4">
        <f>G30</f>
        <v>0.26007866273353</v>
      </c>
      <c r="C4">
        <f>N30</f>
        <v>0</v>
      </c>
    </row>
    <row r="5" spans="1:3" ht="12.75">
      <c r="A5">
        <v>80</v>
      </c>
      <c r="B5">
        <f>G44</f>
        <v>0.48616187989556137</v>
      </c>
      <c r="C5">
        <f>N44</f>
        <v>0</v>
      </c>
    </row>
    <row r="6" spans="1:3" ht="12.75">
      <c r="A6">
        <v>100</v>
      </c>
      <c r="B6">
        <f>G58</f>
        <v>0.6533198175367461</v>
      </c>
      <c r="C6">
        <f>N60</f>
        <v>0</v>
      </c>
    </row>
    <row r="7" spans="1:3" ht="12.75">
      <c r="A7">
        <v>150</v>
      </c>
      <c r="B7">
        <f>G76</f>
        <v>0.7931208902377339</v>
      </c>
      <c r="C7">
        <f>N82</f>
        <v>0</v>
      </c>
    </row>
    <row r="8" spans="1:3" ht="12.75">
      <c r="A8">
        <v>200</v>
      </c>
      <c r="B8">
        <f>G92</f>
        <v>0.8534438114966338</v>
      </c>
      <c r="C8">
        <f>N96</f>
        <v>0</v>
      </c>
    </row>
    <row r="9" spans="1:3" ht="12.75">
      <c r="A9">
        <v>250</v>
      </c>
      <c r="B9">
        <f>G110</f>
        <v>0.9438025210084033</v>
      </c>
      <c r="C9">
        <f>N116</f>
        <v>0</v>
      </c>
    </row>
    <row r="10" spans="1:3" ht="12.75">
      <c r="A10">
        <v>300</v>
      </c>
      <c r="B10">
        <f>G126</f>
        <v>0</v>
      </c>
      <c r="C10">
        <f>N130</f>
        <v>0</v>
      </c>
    </row>
    <row r="14" spans="1:2" ht="12.75">
      <c r="A14" t="s">
        <v>7</v>
      </c>
      <c r="B14" t="s">
        <v>119</v>
      </c>
    </row>
    <row r="16" spans="1:7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</row>
    <row r="17" spans="1:6" ht="12.75">
      <c r="A17">
        <v>80</v>
      </c>
      <c r="B17">
        <f>(A17+13.5822)/115.6017</f>
        <v>0.8095226973305756</v>
      </c>
      <c r="C17">
        <v>10752</v>
      </c>
      <c r="D17">
        <v>2079</v>
      </c>
      <c r="E17">
        <v>122</v>
      </c>
      <c r="F17">
        <v>326</v>
      </c>
    </row>
    <row r="18" spans="1:6" ht="12.75">
      <c r="A18">
        <v>90</v>
      </c>
      <c r="B18">
        <f>(A18+13.5822)/115.6017</f>
        <v>0.8960266155255503</v>
      </c>
      <c r="C18">
        <v>8374</v>
      </c>
      <c r="D18">
        <v>2002</v>
      </c>
      <c r="E18">
        <v>82</v>
      </c>
      <c r="F18">
        <v>237</v>
      </c>
    </row>
    <row r="19" spans="1:6" ht="12.75">
      <c r="A19" s="1">
        <v>102</v>
      </c>
      <c r="B19">
        <f>(A19+13.5822)/115.6017</f>
        <v>0.9998313173595198</v>
      </c>
      <c r="C19" s="1">
        <v>6588</v>
      </c>
      <c r="D19" s="1">
        <v>2012</v>
      </c>
      <c r="E19" s="1">
        <v>69</v>
      </c>
      <c r="F19" s="1">
        <v>178</v>
      </c>
    </row>
    <row r="20" spans="1:6" ht="12.75">
      <c r="A20">
        <v>120</v>
      </c>
      <c r="B20">
        <f>(A20+13.5822)/115.6017</f>
        <v>1.1555383701104742</v>
      </c>
      <c r="C20" s="1">
        <v>4931</v>
      </c>
      <c r="D20" s="1">
        <v>2053</v>
      </c>
      <c r="E20" s="1">
        <v>53</v>
      </c>
      <c r="F20" s="1">
        <v>113</v>
      </c>
    </row>
    <row r="21" spans="3:6" ht="12.75">
      <c r="C21" s="1"/>
      <c r="D21" s="1"/>
      <c r="E21" s="1"/>
      <c r="F21" s="1"/>
    </row>
    <row r="25" ht="12.75">
      <c r="A25" t="s">
        <v>9</v>
      </c>
    </row>
    <row r="27" spans="1:7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</row>
    <row r="28" spans="1:7" ht="12.75">
      <c r="A28">
        <v>80</v>
      </c>
      <c r="B28">
        <f>(A28+13.5822)/115.6017</f>
        <v>0.8095226973305756</v>
      </c>
      <c r="C28">
        <v>17859</v>
      </c>
      <c r="D28">
        <v>1956</v>
      </c>
      <c r="E28">
        <v>254</v>
      </c>
      <c r="F28">
        <v>700</v>
      </c>
      <c r="G28">
        <f>(F28+E28)/(D28-14*2)</f>
        <v>0.4948132780082988</v>
      </c>
    </row>
    <row r="29" spans="1:7" ht="12.75">
      <c r="A29">
        <v>90</v>
      </c>
      <c r="B29">
        <f>(A29+13.5822)/115.6017</f>
        <v>0.8960266155255503</v>
      </c>
      <c r="C29">
        <v>14918</v>
      </c>
      <c r="D29">
        <v>1985</v>
      </c>
      <c r="E29">
        <v>169</v>
      </c>
      <c r="F29">
        <v>508</v>
      </c>
      <c r="G29">
        <f>(F29+E29)/(D29-14*2)</f>
        <v>0.34593765968318857</v>
      </c>
    </row>
    <row r="30" spans="1:7" ht="12.75">
      <c r="A30" s="1">
        <v>102</v>
      </c>
      <c r="B30">
        <f>(A30+13.5822)/115.6017</f>
        <v>0.9998313173595198</v>
      </c>
      <c r="C30">
        <v>12183</v>
      </c>
      <c r="D30">
        <v>2062</v>
      </c>
      <c r="E30">
        <v>141</v>
      </c>
      <c r="F30">
        <v>388</v>
      </c>
      <c r="G30">
        <f>(F30+E30)/(D30-14*2)</f>
        <v>0.26007866273353</v>
      </c>
    </row>
    <row r="31" spans="1:7" ht="12.75">
      <c r="A31">
        <v>120</v>
      </c>
      <c r="B31">
        <f>(A31+13.5822)/115.6017</f>
        <v>1.1555383701104742</v>
      </c>
      <c r="C31">
        <v>9114</v>
      </c>
      <c r="D31">
        <v>2074</v>
      </c>
      <c r="E31">
        <v>104</v>
      </c>
      <c r="F31">
        <v>236</v>
      </c>
      <c r="G31">
        <f>(F31+E31)/(D31-14*2)</f>
        <v>0.16617790811339198</v>
      </c>
    </row>
    <row r="32" spans="1:2" ht="12.75">
      <c r="A32">
        <v>150</v>
      </c>
      <c r="B32">
        <f>(A32+13.5822)/115.6017</f>
        <v>1.4150501246953981</v>
      </c>
    </row>
    <row r="39" ht="12.75">
      <c r="A39" t="s">
        <v>11</v>
      </c>
    </row>
    <row r="41" spans="1:7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</row>
    <row r="42" spans="1:7" ht="12.75">
      <c r="A42">
        <v>80</v>
      </c>
      <c r="B42">
        <f aca="true" t="shared" si="0" ref="B42:B47">(A42+13.5822)/115.6017</f>
        <v>0.8095226973305756</v>
      </c>
      <c r="C42">
        <v>23690</v>
      </c>
      <c r="D42">
        <v>2000</v>
      </c>
      <c r="E42">
        <v>381</v>
      </c>
      <c r="F42">
        <v>936</v>
      </c>
      <c r="G42">
        <f>(F42+E42)/(D42-14*2)</f>
        <v>0.6678498985801217</v>
      </c>
    </row>
    <row r="43" spans="1:7" ht="12.75">
      <c r="A43">
        <v>90</v>
      </c>
      <c r="B43">
        <f t="shared" si="0"/>
        <v>0.8960266155255503</v>
      </c>
      <c r="C43">
        <v>21068</v>
      </c>
      <c r="D43">
        <v>2043</v>
      </c>
      <c r="E43">
        <v>328</v>
      </c>
      <c r="F43">
        <v>869</v>
      </c>
      <c r="G43">
        <f>(F43+E43)/(D43-14*2)</f>
        <v>0.5940446650124069</v>
      </c>
    </row>
    <row r="44" spans="1:7" ht="12.75">
      <c r="A44" s="1">
        <v>102</v>
      </c>
      <c r="B44">
        <f t="shared" si="0"/>
        <v>0.9998313173595198</v>
      </c>
      <c r="C44">
        <v>17902</v>
      </c>
      <c r="D44">
        <v>1943</v>
      </c>
      <c r="E44">
        <v>259</v>
      </c>
      <c r="F44">
        <v>672</v>
      </c>
      <c r="G44">
        <f>(F44+E44)/(D44-14*2)</f>
        <v>0.48616187989556137</v>
      </c>
    </row>
    <row r="45" spans="1:7" ht="12.75">
      <c r="A45">
        <v>120</v>
      </c>
      <c r="B45">
        <f t="shared" si="0"/>
        <v>1.1555383701104742</v>
      </c>
      <c r="C45">
        <v>14017</v>
      </c>
      <c r="D45">
        <v>2072</v>
      </c>
      <c r="E45">
        <v>194</v>
      </c>
      <c r="F45">
        <v>527</v>
      </c>
      <c r="G45">
        <f>(F45+E45)/(D45-14*2)</f>
        <v>0.3527397260273973</v>
      </c>
    </row>
    <row r="46" spans="1:7" ht="12.75">
      <c r="A46">
        <v>150</v>
      </c>
      <c r="B46">
        <f>(A46+13.5822)/115.6017</f>
        <v>1.4150501246953981</v>
      </c>
      <c r="C46">
        <v>9362</v>
      </c>
      <c r="D46">
        <v>2021</v>
      </c>
      <c r="E46">
        <v>80</v>
      </c>
      <c r="F46">
        <v>234</v>
      </c>
      <c r="G46">
        <f>(F46+E46)/(D46-14*2)</f>
        <v>0.15755143000501756</v>
      </c>
    </row>
    <row r="47" spans="1:7" ht="12.75">
      <c r="A47">
        <v>180</v>
      </c>
      <c r="B47">
        <f t="shared" si="0"/>
        <v>1.674561879280322</v>
      </c>
      <c r="C47">
        <v>6637</v>
      </c>
      <c r="D47">
        <v>2059</v>
      </c>
      <c r="E47">
        <v>84</v>
      </c>
      <c r="F47">
        <v>153</v>
      </c>
      <c r="G47">
        <f>(F47+E47)/(D47-14*2)</f>
        <v>0.11669128508124077</v>
      </c>
    </row>
    <row r="53" ht="12.75">
      <c r="A53" t="s">
        <v>13</v>
      </c>
    </row>
    <row r="55" spans="1:7" ht="12.7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</row>
    <row r="56" spans="1:7" ht="12.75">
      <c r="A56">
        <v>80</v>
      </c>
      <c r="B56">
        <f aca="true" t="shared" si="1" ref="B56:B62">(A56+13.5822)/115.6017</f>
        <v>0.8095226973305756</v>
      </c>
      <c r="C56">
        <v>27874</v>
      </c>
      <c r="D56">
        <v>2023</v>
      </c>
      <c r="E56">
        <v>370</v>
      </c>
      <c r="F56">
        <v>1064</v>
      </c>
      <c r="G56">
        <f aca="true" t="shared" si="2" ref="G56:G62">(F56+E56)/(D56-14*2)</f>
        <v>0.718796992481203</v>
      </c>
    </row>
    <row r="57" spans="1:7" ht="12.75">
      <c r="A57">
        <v>90</v>
      </c>
      <c r="B57">
        <f t="shared" si="1"/>
        <v>0.8960266155255503</v>
      </c>
      <c r="C57">
        <v>25409</v>
      </c>
      <c r="D57">
        <v>2066</v>
      </c>
      <c r="E57">
        <v>426</v>
      </c>
      <c r="F57">
        <v>1026</v>
      </c>
      <c r="G57">
        <f t="shared" si="2"/>
        <v>0.7124631992149166</v>
      </c>
    </row>
    <row r="58" spans="1:7" ht="12.75">
      <c r="A58">
        <v>102</v>
      </c>
      <c r="B58">
        <f t="shared" si="1"/>
        <v>0.9998313173595198</v>
      </c>
      <c r="C58">
        <v>22264</v>
      </c>
      <c r="D58">
        <v>2001</v>
      </c>
      <c r="E58">
        <v>355</v>
      </c>
      <c r="F58">
        <v>934</v>
      </c>
      <c r="G58">
        <f t="shared" si="2"/>
        <v>0.6533198175367461</v>
      </c>
    </row>
    <row r="59" spans="1:7" ht="12.75">
      <c r="A59">
        <v>120</v>
      </c>
      <c r="B59">
        <f t="shared" si="1"/>
        <v>1.1555383701104742</v>
      </c>
      <c r="C59">
        <v>18553</v>
      </c>
      <c r="D59">
        <v>1997</v>
      </c>
      <c r="E59">
        <v>274</v>
      </c>
      <c r="F59">
        <v>699</v>
      </c>
      <c r="G59">
        <f t="shared" si="2"/>
        <v>0.4941594718131031</v>
      </c>
    </row>
    <row r="60" spans="1:7" ht="12.75">
      <c r="A60">
        <v>150</v>
      </c>
      <c r="B60">
        <f t="shared" si="1"/>
        <v>1.4150501246953981</v>
      </c>
      <c r="C60">
        <v>12770</v>
      </c>
      <c r="D60">
        <v>2015</v>
      </c>
      <c r="E60">
        <v>134</v>
      </c>
      <c r="F60">
        <v>393</v>
      </c>
      <c r="G60">
        <f t="shared" si="2"/>
        <v>0.2652239557121288</v>
      </c>
    </row>
    <row r="61" spans="1:7" ht="12.75">
      <c r="A61">
        <v>180</v>
      </c>
      <c r="B61">
        <f t="shared" si="1"/>
        <v>1.674561879280322</v>
      </c>
      <c r="C61">
        <v>9066</v>
      </c>
      <c r="D61">
        <v>1993</v>
      </c>
      <c r="E61">
        <v>84</v>
      </c>
      <c r="F61">
        <v>220</v>
      </c>
      <c r="G61">
        <f t="shared" si="2"/>
        <v>0.15470737913486005</v>
      </c>
    </row>
    <row r="62" spans="1:7" ht="12.75">
      <c r="A62">
        <v>210</v>
      </c>
      <c r="B62">
        <f t="shared" si="1"/>
        <v>1.934073633865246</v>
      </c>
      <c r="C62">
        <v>6941</v>
      </c>
      <c r="D62">
        <v>1948</v>
      </c>
      <c r="E62">
        <v>52</v>
      </c>
      <c r="F62">
        <v>137</v>
      </c>
      <c r="G62">
        <f t="shared" si="2"/>
        <v>0.0984375</v>
      </c>
    </row>
    <row r="71" spans="1:4" ht="12.75">
      <c r="A71" t="s">
        <v>17</v>
      </c>
      <c r="C71" s="3"/>
      <c r="D71" s="3"/>
    </row>
    <row r="73" spans="1:7" ht="12.75">
      <c r="A73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</row>
    <row r="74" spans="1:7" ht="12.75">
      <c r="A74">
        <v>80</v>
      </c>
      <c r="B74">
        <f aca="true" t="shared" si="3" ref="B74:B82">(A74+13.5822)/115.6017</f>
        <v>0.8095226973305756</v>
      </c>
      <c r="C74">
        <v>36996</v>
      </c>
      <c r="D74">
        <v>1995</v>
      </c>
      <c r="E74">
        <v>502</v>
      </c>
      <c r="F74">
        <v>1187</v>
      </c>
      <c r="G74">
        <f aca="true" t="shared" si="4" ref="G74:G82">(F74+E74)/(D74-14*2)</f>
        <v>0.85866802236909</v>
      </c>
    </row>
    <row r="75" spans="1:7" ht="12.75">
      <c r="A75">
        <v>90</v>
      </c>
      <c r="B75">
        <f t="shared" si="3"/>
        <v>0.8960266155255503</v>
      </c>
      <c r="C75">
        <v>34047</v>
      </c>
      <c r="D75">
        <v>2079</v>
      </c>
      <c r="E75">
        <v>440</v>
      </c>
      <c r="F75">
        <v>1263</v>
      </c>
      <c r="G75">
        <f t="shared" si="4"/>
        <v>0.8303266699171136</v>
      </c>
    </row>
    <row r="76" spans="1:7" ht="12.75">
      <c r="A76">
        <v>102</v>
      </c>
      <c r="B76">
        <f t="shared" si="3"/>
        <v>0.9998313173595198</v>
      </c>
      <c r="C76">
        <v>30281</v>
      </c>
      <c r="D76">
        <v>2005</v>
      </c>
      <c r="E76">
        <v>466</v>
      </c>
      <c r="F76">
        <v>1102</v>
      </c>
      <c r="G76">
        <f t="shared" si="4"/>
        <v>0.7931208902377339</v>
      </c>
    </row>
    <row r="77" spans="1:7" ht="12.75">
      <c r="A77">
        <v>120</v>
      </c>
      <c r="B77">
        <f t="shared" si="3"/>
        <v>1.1555383701104742</v>
      </c>
      <c r="C77">
        <v>26449</v>
      </c>
      <c r="D77">
        <v>1970</v>
      </c>
      <c r="E77">
        <v>419</v>
      </c>
      <c r="F77">
        <v>970</v>
      </c>
      <c r="G77">
        <f t="shared" si="4"/>
        <v>0.7152420185375901</v>
      </c>
    </row>
    <row r="78" spans="1:7" ht="12.75">
      <c r="A78">
        <v>150</v>
      </c>
      <c r="B78">
        <f t="shared" si="3"/>
        <v>1.4150501246953981</v>
      </c>
      <c r="C78">
        <v>20687</v>
      </c>
      <c r="D78">
        <v>1974</v>
      </c>
      <c r="E78">
        <v>350</v>
      </c>
      <c r="F78">
        <v>791</v>
      </c>
      <c r="G78">
        <f t="shared" si="4"/>
        <v>0.5863309352517986</v>
      </c>
    </row>
    <row r="79" spans="1:7" ht="12.75">
      <c r="A79">
        <v>180</v>
      </c>
      <c r="B79">
        <f t="shared" si="3"/>
        <v>1.674561879280322</v>
      </c>
      <c r="C79">
        <v>16168</v>
      </c>
      <c r="D79">
        <v>2060</v>
      </c>
      <c r="E79">
        <v>229</v>
      </c>
      <c r="F79">
        <v>555</v>
      </c>
      <c r="G79">
        <f t="shared" si="4"/>
        <v>0.3858267716535433</v>
      </c>
    </row>
    <row r="80" spans="1:7" ht="12.75">
      <c r="A80">
        <v>210</v>
      </c>
      <c r="B80">
        <f t="shared" si="3"/>
        <v>1.934073633865246</v>
      </c>
      <c r="C80">
        <v>11947</v>
      </c>
      <c r="D80">
        <v>1951</v>
      </c>
      <c r="E80">
        <v>122</v>
      </c>
      <c r="F80">
        <v>309</v>
      </c>
      <c r="G80">
        <f t="shared" si="4"/>
        <v>0.22412896515860634</v>
      </c>
    </row>
    <row r="81" spans="1:7" ht="12.75">
      <c r="A81">
        <v>240</v>
      </c>
      <c r="B81">
        <f t="shared" si="3"/>
        <v>2.19358538845017</v>
      </c>
      <c r="C81">
        <v>9242</v>
      </c>
      <c r="D81">
        <v>1993</v>
      </c>
      <c r="E81">
        <v>83</v>
      </c>
      <c r="F81">
        <v>211</v>
      </c>
      <c r="G81">
        <f t="shared" si="4"/>
        <v>0.14961832061068703</v>
      </c>
    </row>
    <row r="82" spans="1:7" ht="12.75">
      <c r="A82">
        <v>270</v>
      </c>
      <c r="B82">
        <f t="shared" si="3"/>
        <v>2.453097143035094</v>
      </c>
      <c r="C82">
        <v>7543</v>
      </c>
      <c r="D82">
        <v>1994</v>
      </c>
      <c r="E82">
        <v>65</v>
      </c>
      <c r="F82">
        <v>166</v>
      </c>
      <c r="G82">
        <f t="shared" si="4"/>
        <v>0.11749745676500509</v>
      </c>
    </row>
    <row r="89" spans="1:4" ht="12.75">
      <c r="A89" t="s">
        <v>16</v>
      </c>
      <c r="C89" s="3"/>
      <c r="D89" s="3"/>
    </row>
    <row r="91" spans="1:7" ht="12.7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</row>
    <row r="92" spans="1:7" ht="12.75">
      <c r="A92">
        <v>102</v>
      </c>
      <c r="B92" s="18">
        <f aca="true" t="shared" si="5" ref="B92:B99">(A92+13.5822)/115.6017</f>
        <v>0.9998313173595198</v>
      </c>
      <c r="C92" s="18">
        <v>37497</v>
      </c>
      <c r="D92" s="18">
        <v>1959</v>
      </c>
      <c r="E92" s="18">
        <v>495</v>
      </c>
      <c r="F92" s="18">
        <v>1153</v>
      </c>
      <c r="G92">
        <f aca="true" t="shared" si="6" ref="G92:G99">(F92+E92)/(D92-14*2)</f>
        <v>0.8534438114966338</v>
      </c>
    </row>
    <row r="93" spans="1:7" ht="12.75">
      <c r="A93">
        <v>120</v>
      </c>
      <c r="B93">
        <f t="shared" si="5"/>
        <v>1.1555383701104742</v>
      </c>
      <c r="C93">
        <v>33227</v>
      </c>
      <c r="D93">
        <v>1957</v>
      </c>
      <c r="E93">
        <v>463</v>
      </c>
      <c r="F93">
        <v>1110</v>
      </c>
      <c r="G93">
        <f t="shared" si="6"/>
        <v>0.8154484188698807</v>
      </c>
    </row>
    <row r="94" spans="1:7" ht="12.75">
      <c r="A94">
        <v>150</v>
      </c>
      <c r="B94">
        <f t="shared" si="5"/>
        <v>1.4150501246953981</v>
      </c>
      <c r="C94">
        <v>27090</v>
      </c>
      <c r="D94">
        <v>2012</v>
      </c>
      <c r="E94">
        <v>407</v>
      </c>
      <c r="F94">
        <v>1000</v>
      </c>
      <c r="G94">
        <f t="shared" si="6"/>
        <v>0.7091733870967742</v>
      </c>
    </row>
    <row r="95" spans="1:7" ht="12.75">
      <c r="A95">
        <v>180</v>
      </c>
      <c r="B95">
        <f t="shared" si="5"/>
        <v>1.674561879280322</v>
      </c>
      <c r="C95">
        <v>21836</v>
      </c>
      <c r="D95">
        <v>1972</v>
      </c>
      <c r="E95">
        <v>325</v>
      </c>
      <c r="F95">
        <v>788</v>
      </c>
      <c r="G95">
        <f t="shared" si="6"/>
        <v>0.5725308641975309</v>
      </c>
    </row>
    <row r="96" spans="1:7" ht="12.75">
      <c r="A96">
        <v>210</v>
      </c>
      <c r="B96">
        <f t="shared" si="5"/>
        <v>1.934073633865246</v>
      </c>
      <c r="C96">
        <v>17599</v>
      </c>
      <c r="D96">
        <v>2003</v>
      </c>
      <c r="E96">
        <v>215</v>
      </c>
      <c r="F96">
        <v>534</v>
      </c>
      <c r="G96">
        <f t="shared" si="6"/>
        <v>0.37924050632911394</v>
      </c>
    </row>
    <row r="97" spans="1:7" ht="12.75">
      <c r="A97">
        <v>240</v>
      </c>
      <c r="B97">
        <f t="shared" si="5"/>
        <v>2.19358538845017</v>
      </c>
      <c r="C97">
        <v>13843</v>
      </c>
      <c r="D97">
        <v>1908</v>
      </c>
      <c r="E97">
        <v>151</v>
      </c>
      <c r="F97">
        <v>369</v>
      </c>
      <c r="G97">
        <f t="shared" si="6"/>
        <v>0.2765957446808511</v>
      </c>
    </row>
    <row r="98" spans="1:7" ht="12.75">
      <c r="A98">
        <v>270</v>
      </c>
      <c r="B98">
        <f t="shared" si="5"/>
        <v>2.453097143035094</v>
      </c>
      <c r="C98">
        <v>11092</v>
      </c>
      <c r="D98">
        <v>2018</v>
      </c>
      <c r="E98">
        <v>111</v>
      </c>
      <c r="F98">
        <v>249</v>
      </c>
      <c r="G98">
        <f t="shared" si="6"/>
        <v>0.18090452261306533</v>
      </c>
    </row>
    <row r="99" spans="1:7" ht="12.75">
      <c r="A99">
        <v>300</v>
      </c>
      <c r="B99">
        <f t="shared" si="5"/>
        <v>2.712608897620018</v>
      </c>
      <c r="C99" s="18">
        <v>8952</v>
      </c>
      <c r="D99" s="18">
        <v>1974</v>
      </c>
      <c r="E99" s="18">
        <v>110</v>
      </c>
      <c r="F99" s="18">
        <v>192</v>
      </c>
      <c r="G99" s="18">
        <f t="shared" si="6"/>
        <v>0.1551901336073998</v>
      </c>
    </row>
    <row r="100" spans="3:7" ht="12.75">
      <c r="C100" s="18"/>
      <c r="D100" s="18"/>
      <c r="E100" s="18"/>
      <c r="F100" s="18"/>
      <c r="G100" s="18"/>
    </row>
    <row r="107" spans="1:4" ht="12.75">
      <c r="A107" t="s">
        <v>18</v>
      </c>
      <c r="B107" t="s">
        <v>118</v>
      </c>
      <c r="C107" s="3"/>
      <c r="D107" s="3"/>
    </row>
    <row r="109" spans="1:7" ht="12.75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</row>
    <row r="110" spans="1:7" ht="12.75">
      <c r="A110">
        <v>102</v>
      </c>
      <c r="B110">
        <f aca="true" t="shared" si="7" ref="B110:B117">(A110+13.5822)/115.6017</f>
        <v>0.9998313173595198</v>
      </c>
      <c r="C110">
        <v>298069</v>
      </c>
      <c r="D110">
        <v>1932</v>
      </c>
      <c r="E110">
        <v>551</v>
      </c>
      <c r="F110">
        <v>1246</v>
      </c>
      <c r="G110">
        <f>(F110+E110)/(D110-14*2)</f>
        <v>0.9438025210084033</v>
      </c>
    </row>
    <row r="111" spans="1:7" ht="12.75">
      <c r="A111">
        <v>150</v>
      </c>
      <c r="B111">
        <f t="shared" si="7"/>
        <v>1.4150501246953981</v>
      </c>
      <c r="C111">
        <v>56134</v>
      </c>
      <c r="D111">
        <v>2087</v>
      </c>
      <c r="E111">
        <v>477</v>
      </c>
      <c r="F111">
        <v>1119</v>
      </c>
      <c r="G111">
        <f>(F111+E111)/(D111-14*2)</f>
        <v>0.7751335599805731</v>
      </c>
    </row>
    <row r="112" spans="1:7" ht="12.75">
      <c r="A112">
        <v>180</v>
      </c>
      <c r="B112">
        <f t="shared" si="7"/>
        <v>1.674561879280322</v>
      </c>
      <c r="C112">
        <v>33658</v>
      </c>
      <c r="D112">
        <v>2015</v>
      </c>
      <c r="E112">
        <v>430</v>
      </c>
      <c r="F112">
        <v>970</v>
      </c>
      <c r="G112">
        <f>(F112+E112)/(D112-14*2)</f>
        <v>0.704579768495219</v>
      </c>
    </row>
    <row r="113" spans="1:7" ht="12.75">
      <c r="A113">
        <v>210</v>
      </c>
      <c r="B113">
        <f t="shared" si="7"/>
        <v>1.934073633865246</v>
      </c>
      <c r="C113">
        <v>40717</v>
      </c>
      <c r="D113">
        <v>1984</v>
      </c>
      <c r="E113">
        <v>330</v>
      </c>
      <c r="F113">
        <v>718</v>
      </c>
      <c r="G113">
        <f>(F113+E113)/(D113-14*2)</f>
        <v>0.5357873210633947</v>
      </c>
    </row>
    <row r="114" spans="1:7" ht="12.75">
      <c r="A114">
        <v>240</v>
      </c>
      <c r="B114">
        <f t="shared" si="7"/>
        <v>2.19358538845017</v>
      </c>
      <c r="C114">
        <v>39562</v>
      </c>
      <c r="D114">
        <v>1966</v>
      </c>
      <c r="E114">
        <v>261</v>
      </c>
      <c r="F114">
        <v>599</v>
      </c>
      <c r="G114" s="18">
        <f>(F114+E114)/(D114-14*2)</f>
        <v>0.4437564499484004</v>
      </c>
    </row>
    <row r="115" spans="1:7" ht="12.75">
      <c r="A115">
        <v>270</v>
      </c>
      <c r="B115">
        <f t="shared" si="7"/>
        <v>2.453097143035094</v>
      </c>
      <c r="G115" s="18"/>
    </row>
    <row r="116" spans="1:7" ht="12.75">
      <c r="A116">
        <v>300</v>
      </c>
      <c r="B116">
        <f t="shared" si="7"/>
        <v>2.712608897620018</v>
      </c>
      <c r="G116" s="18"/>
    </row>
    <row r="117" spans="1:7" ht="12.75">
      <c r="A117">
        <v>330</v>
      </c>
      <c r="B117">
        <f t="shared" si="7"/>
        <v>2.972120652204942</v>
      </c>
      <c r="G117" s="18"/>
    </row>
    <row r="119" ht="12.75">
      <c r="A119" t="s">
        <v>19</v>
      </c>
    </row>
    <row r="121" spans="1:7" ht="12.75">
      <c r="A121" t="s">
        <v>0</v>
      </c>
      <c r="B121" t="s">
        <v>1</v>
      </c>
      <c r="C121" t="s">
        <v>2</v>
      </c>
      <c r="D121" t="s">
        <v>3</v>
      </c>
      <c r="E121" t="s">
        <v>4</v>
      </c>
      <c r="F121" t="s">
        <v>5</v>
      </c>
      <c r="G121" t="s">
        <v>6</v>
      </c>
    </row>
    <row r="122" spans="1:7" ht="12.75">
      <c r="A122">
        <v>102</v>
      </c>
      <c r="B122">
        <f aca="true" t="shared" si="8" ref="B122:B131">(A122+13.5822)/115.6017</f>
        <v>0.9998313173595198</v>
      </c>
      <c r="G122" s="18"/>
    </row>
    <row r="123" spans="1:7" ht="12.75">
      <c r="A123">
        <v>150</v>
      </c>
      <c r="B123">
        <f t="shared" si="8"/>
        <v>1.4150501246953981</v>
      </c>
      <c r="G123" s="18"/>
    </row>
    <row r="124" spans="1:7" ht="12.75">
      <c r="A124">
        <v>180</v>
      </c>
      <c r="B124">
        <f t="shared" si="8"/>
        <v>1.674561879280322</v>
      </c>
      <c r="C124">
        <v>92374</v>
      </c>
      <c r="D124">
        <v>934</v>
      </c>
      <c r="E124">
        <v>233</v>
      </c>
      <c r="F124">
        <v>466</v>
      </c>
      <c r="G124" s="18"/>
    </row>
    <row r="125" spans="1:7" ht="12.75">
      <c r="A125">
        <v>210</v>
      </c>
      <c r="B125">
        <f t="shared" si="8"/>
        <v>1.934073633865246</v>
      </c>
      <c r="G125" s="18"/>
    </row>
    <row r="126" spans="1:7" ht="12.75">
      <c r="A126">
        <v>240</v>
      </c>
      <c r="B126">
        <f t="shared" si="8"/>
        <v>2.19358538845017</v>
      </c>
      <c r="G126" s="18"/>
    </row>
    <row r="127" spans="1:7" ht="12.75">
      <c r="A127">
        <v>270</v>
      </c>
      <c r="B127">
        <f t="shared" si="8"/>
        <v>2.453097143035094</v>
      </c>
      <c r="G127" s="18"/>
    </row>
    <row r="128" spans="1:7" ht="12.75">
      <c r="A128">
        <v>300</v>
      </c>
      <c r="B128">
        <f t="shared" si="8"/>
        <v>2.712608897620018</v>
      </c>
      <c r="G128" s="18"/>
    </row>
    <row r="129" spans="1:7" ht="12.75">
      <c r="A129">
        <v>270</v>
      </c>
      <c r="B129">
        <f t="shared" si="8"/>
        <v>2.453097143035094</v>
      </c>
      <c r="G129" s="18"/>
    </row>
    <row r="130" spans="1:7" ht="12.75">
      <c r="A130">
        <v>300</v>
      </c>
      <c r="B130">
        <f t="shared" si="8"/>
        <v>2.712608897620018</v>
      </c>
      <c r="G130" s="18"/>
    </row>
    <row r="131" spans="1:7" ht="12.75">
      <c r="A131">
        <v>330</v>
      </c>
      <c r="B131">
        <f t="shared" si="8"/>
        <v>2.972120652204942</v>
      </c>
      <c r="G131" s="18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B28" sqref="B28"/>
    </sheetView>
  </sheetViews>
  <sheetFormatPr defaultColWidth="9.140625" defaultRowHeight="12.75"/>
  <cols>
    <col min="11" max="11" width="14.7109375" style="0" customWidth="1"/>
  </cols>
  <sheetData>
    <row r="1" spans="1:6" ht="12.75">
      <c r="A1" s="2" t="s">
        <v>21</v>
      </c>
      <c r="E1" t="s">
        <v>33</v>
      </c>
      <c r="F1" s="2"/>
    </row>
    <row r="2" spans="1:13" ht="12.75">
      <c r="A2">
        <v>2</v>
      </c>
      <c r="B2">
        <v>113.692</v>
      </c>
      <c r="C2">
        <v>-12.786</v>
      </c>
      <c r="H2">
        <v>115.159</v>
      </c>
      <c r="I2">
        <v>-16.759</v>
      </c>
      <c r="K2" s="17"/>
      <c r="L2" s="10"/>
      <c r="M2" s="11"/>
    </row>
    <row r="3" spans="1:13" ht="12.75">
      <c r="A3">
        <v>3</v>
      </c>
      <c r="B3">
        <v>115.377</v>
      </c>
      <c r="C3">
        <v>-16.177</v>
      </c>
      <c r="H3">
        <v>115.783</v>
      </c>
      <c r="I3">
        <v>-15.647</v>
      </c>
      <c r="K3" s="12"/>
      <c r="L3" s="4"/>
      <c r="M3" s="13"/>
    </row>
    <row r="4" spans="1:13" ht="12.75">
      <c r="A4">
        <v>4</v>
      </c>
      <c r="B4">
        <v>111.846</v>
      </c>
      <c r="C4">
        <v>-16.976</v>
      </c>
      <c r="H4">
        <v>108.723</v>
      </c>
      <c r="I4">
        <v>-13.366</v>
      </c>
      <c r="K4" s="14"/>
      <c r="L4" s="15"/>
      <c r="M4" s="16"/>
    </row>
    <row r="5" spans="1:9" ht="12.75">
      <c r="A5">
        <v>5</v>
      </c>
      <c r="B5">
        <v>115.709</v>
      </c>
      <c r="C5">
        <v>-16.879</v>
      </c>
      <c r="H5">
        <v>115.766</v>
      </c>
      <c r="I5">
        <v>-15.359</v>
      </c>
    </row>
    <row r="6" spans="1:9" ht="12.75">
      <c r="A6">
        <v>6</v>
      </c>
      <c r="B6">
        <v>114.79</v>
      </c>
      <c r="C6">
        <v>-15.946</v>
      </c>
      <c r="H6">
        <v>114.171</v>
      </c>
      <c r="I6">
        <v>-12.859</v>
      </c>
    </row>
    <row r="7" spans="1:13" ht="12.75">
      <c r="A7">
        <v>7</v>
      </c>
      <c r="B7">
        <v>117.415</v>
      </c>
      <c r="C7">
        <v>-9.488</v>
      </c>
      <c r="H7">
        <v>119.145</v>
      </c>
      <c r="I7">
        <v>-13.139</v>
      </c>
      <c r="K7" s="17"/>
      <c r="L7" s="10"/>
      <c r="M7" s="11"/>
    </row>
    <row r="8" spans="1:13" ht="12.75">
      <c r="A8">
        <v>8</v>
      </c>
      <c r="B8">
        <v>118.712</v>
      </c>
      <c r="C8">
        <v>-20.617</v>
      </c>
      <c r="H8">
        <v>120.122</v>
      </c>
      <c r="I8">
        <v>-23.686</v>
      </c>
      <c r="K8" s="12"/>
      <c r="L8" s="4"/>
      <c r="M8" s="13"/>
    </row>
    <row r="9" spans="1:9" ht="12.75">
      <c r="A9">
        <v>10</v>
      </c>
      <c r="B9">
        <v>111.9</v>
      </c>
      <c r="C9">
        <v>-9.935</v>
      </c>
      <c r="H9">
        <v>112.864</v>
      </c>
      <c r="I9">
        <v>-12.264</v>
      </c>
    </row>
    <row r="10" spans="1:9" ht="12.75">
      <c r="A10">
        <v>11</v>
      </c>
      <c r="B10">
        <v>116.898</v>
      </c>
      <c r="C10">
        <v>-13.603</v>
      </c>
      <c r="H10">
        <v>115.812</v>
      </c>
      <c r="I10">
        <v>-10.977</v>
      </c>
    </row>
    <row r="11" spans="1:9" ht="12.75">
      <c r="A11">
        <v>12</v>
      </c>
      <c r="B11">
        <v>110.002</v>
      </c>
      <c r="C11">
        <v>-17.413</v>
      </c>
      <c r="H11">
        <v>115.844</v>
      </c>
      <c r="I11">
        <v>-7.97</v>
      </c>
    </row>
    <row r="12" spans="1:9" ht="12.75">
      <c r="A12">
        <v>13</v>
      </c>
      <c r="B12">
        <v>102.992</v>
      </c>
      <c r="C12">
        <v>20.746</v>
      </c>
      <c r="H12">
        <v>116.313</v>
      </c>
      <c r="I12">
        <v>-12.758</v>
      </c>
    </row>
    <row r="13" spans="1:9" ht="12.75">
      <c r="A13">
        <v>14</v>
      </c>
      <c r="B13">
        <v>115.338</v>
      </c>
      <c r="C13">
        <v>-11.179</v>
      </c>
      <c r="H13">
        <v>116.329</v>
      </c>
      <c r="I13">
        <v>-4.094</v>
      </c>
    </row>
    <row r="14" spans="1:9" ht="12.75">
      <c r="A14">
        <v>1</v>
      </c>
      <c r="B14">
        <v>118.236</v>
      </c>
      <c r="C14">
        <v>-12.581</v>
      </c>
      <c r="H14">
        <v>115.741</v>
      </c>
      <c r="I14">
        <v>-10.608</v>
      </c>
    </row>
    <row r="15" spans="1:9" ht="12.75">
      <c r="A15">
        <v>2</v>
      </c>
      <c r="B15">
        <v>110.965</v>
      </c>
      <c r="C15">
        <v>-16.432</v>
      </c>
      <c r="H15">
        <v>108.621</v>
      </c>
      <c r="I15">
        <v>-17.895</v>
      </c>
    </row>
    <row r="16" spans="1:9" ht="12.75">
      <c r="A16">
        <v>3</v>
      </c>
      <c r="B16">
        <v>116.054</v>
      </c>
      <c r="C16">
        <v>-12.142</v>
      </c>
      <c r="H16">
        <v>116.272</v>
      </c>
      <c r="I16">
        <v>-11.513</v>
      </c>
    </row>
    <row r="17" spans="1:9" ht="12.75">
      <c r="A17">
        <v>4</v>
      </c>
      <c r="B17">
        <v>113.679</v>
      </c>
      <c r="C17">
        <v>-10.567</v>
      </c>
      <c r="H17">
        <v>114.739</v>
      </c>
      <c r="I17">
        <v>-13.518</v>
      </c>
    </row>
    <row r="18" spans="1:9" ht="12.75">
      <c r="A18">
        <v>5</v>
      </c>
      <c r="B18">
        <v>113.676</v>
      </c>
      <c r="C18">
        <v>-20.188</v>
      </c>
      <c r="H18">
        <v>113.92</v>
      </c>
      <c r="I18">
        <v>-18.365</v>
      </c>
    </row>
    <row r="19" spans="1:9" ht="12.75">
      <c r="A19">
        <v>6</v>
      </c>
      <c r="B19">
        <v>113.454</v>
      </c>
      <c r="C19">
        <v>-17.213</v>
      </c>
      <c r="H19">
        <v>116.048</v>
      </c>
      <c r="I19">
        <v>-16.225</v>
      </c>
    </row>
    <row r="20" spans="1:9" ht="12.75">
      <c r="A20">
        <v>7</v>
      </c>
      <c r="B20">
        <v>114.653</v>
      </c>
      <c r="C20">
        <v>-12.966</v>
      </c>
      <c r="H20">
        <v>117.968</v>
      </c>
      <c r="I20">
        <v>-11.864</v>
      </c>
    </row>
    <row r="21" spans="1:9" ht="12.75">
      <c r="A21">
        <v>8</v>
      </c>
      <c r="B21">
        <v>118.279</v>
      </c>
      <c r="C21">
        <v>-13.056</v>
      </c>
      <c r="H21">
        <v>119.042</v>
      </c>
      <c r="I21">
        <v>-10.856</v>
      </c>
    </row>
    <row r="22" spans="1:9" ht="12.75">
      <c r="A22">
        <v>9</v>
      </c>
      <c r="B22">
        <v>118.493</v>
      </c>
      <c r="C22">
        <v>-10.24</v>
      </c>
      <c r="H22">
        <v>116.631</v>
      </c>
      <c r="I22">
        <v>-11.841</v>
      </c>
    </row>
    <row r="23" spans="1:9" ht="12.75">
      <c r="A23">
        <v>10</v>
      </c>
      <c r="B23">
        <v>116.464</v>
      </c>
      <c r="C23">
        <v>-12.032</v>
      </c>
      <c r="H23">
        <v>120.9</v>
      </c>
      <c r="I23">
        <v>-17.091</v>
      </c>
    </row>
    <row r="24" spans="1:9" ht="12.75">
      <c r="A24">
        <v>11</v>
      </c>
      <c r="B24">
        <v>120.3</v>
      </c>
      <c r="C24">
        <v>-16.427</v>
      </c>
      <c r="H24">
        <v>116.664</v>
      </c>
      <c r="I24">
        <v>-12.45</v>
      </c>
    </row>
    <row r="25" spans="1:9" ht="12.75">
      <c r="A25">
        <v>13</v>
      </c>
      <c r="B25">
        <v>116.372</v>
      </c>
      <c r="C25">
        <v>-12.406</v>
      </c>
      <c r="H25">
        <v>113.109</v>
      </c>
      <c r="I25">
        <v>-18.948</v>
      </c>
    </row>
    <row r="26" spans="1:9" ht="12.75">
      <c r="A26">
        <v>14</v>
      </c>
      <c r="B26">
        <v>112.874</v>
      </c>
      <c r="C26">
        <v>-18.278</v>
      </c>
      <c r="H26">
        <v>114.356</v>
      </c>
      <c r="I26">
        <v>-9.504</v>
      </c>
    </row>
    <row r="27" spans="1:9" ht="12.75">
      <c r="A27">
        <v>15</v>
      </c>
      <c r="B27">
        <v>114.758</v>
      </c>
      <c r="C27">
        <v>-11.378</v>
      </c>
      <c r="H27">
        <f>SUM(H2:H26)/25</f>
        <v>115.60168000000002</v>
      </c>
      <c r="I27">
        <f>SUM(I2:I26)/25</f>
        <v>-13.582239999999999</v>
      </c>
    </row>
    <row r="28" spans="2:3" ht="12.75">
      <c r="B28">
        <f>SUM(B2:B27)/26</f>
        <v>114.72799999999998</v>
      </c>
      <c r="C28">
        <f>SUM(C2:C27)/26</f>
        <v>-12.929192307692308</v>
      </c>
    </row>
    <row r="31" spans="7:8" ht="12.75">
      <c r="G31" s="2"/>
      <c r="H31" s="2"/>
    </row>
    <row r="62" spans="2:3" ht="12.75">
      <c r="B62" s="2"/>
      <c r="C6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E6" sqref="E6"/>
    </sheetView>
  </sheetViews>
  <sheetFormatPr defaultColWidth="9.140625" defaultRowHeight="12.75"/>
  <cols>
    <col min="1" max="1" width="10.8515625" style="0" customWidth="1"/>
    <col min="2" max="2" width="9.8515625" style="0" customWidth="1"/>
  </cols>
  <sheetData>
    <row r="1" ht="12.75">
      <c r="A1" t="s">
        <v>103</v>
      </c>
    </row>
    <row r="2" spans="1:2" ht="12.75">
      <c r="A2" t="s">
        <v>104</v>
      </c>
      <c r="B2" t="s">
        <v>62</v>
      </c>
    </row>
    <row r="3" spans="1:2" ht="12.75">
      <c r="A3">
        <v>0</v>
      </c>
      <c r="B3">
        <f>Summary!$B$9</f>
        <v>2.25</v>
      </c>
    </row>
    <row r="4" spans="1:2" ht="12.75">
      <c r="A4">
        <v>5</v>
      </c>
      <c r="B4">
        <f>Summary!$C$23</f>
        <v>2.19</v>
      </c>
    </row>
    <row r="5" spans="1:2" ht="12.75">
      <c r="A5">
        <v>15</v>
      </c>
      <c r="B5">
        <f>Summary!$C$36</f>
        <v>2.3</v>
      </c>
    </row>
    <row r="6" spans="1:2" ht="12.75">
      <c r="A6">
        <v>40</v>
      </c>
      <c r="B6">
        <f>Summary!$I$8</f>
        <v>2.17</v>
      </c>
    </row>
    <row r="7" spans="1:2" ht="12.75">
      <c r="A7">
        <v>80</v>
      </c>
      <c r="B7">
        <f>Summary!$I$19</f>
        <v>2.24</v>
      </c>
    </row>
    <row r="8" spans="1:2" ht="12.75">
      <c r="A8">
        <v>200</v>
      </c>
      <c r="B8">
        <f>Summary!$I$29</f>
        <v>2.09</v>
      </c>
    </row>
    <row r="9" spans="1:2" ht="12.75">
      <c r="A9">
        <v>400</v>
      </c>
      <c r="B9">
        <f>Summary!$I$39</f>
        <v>2.01</v>
      </c>
    </row>
    <row r="10" spans="1:2" ht="12.75">
      <c r="A10">
        <v>600</v>
      </c>
      <c r="B10">
        <f>Summary!$C$47</f>
        <v>1.97</v>
      </c>
    </row>
    <row r="11" spans="1:2" ht="12.75">
      <c r="A11">
        <v>1000</v>
      </c>
      <c r="B11">
        <f>Summary!$I$49</f>
        <v>1.8900000000000001</v>
      </c>
    </row>
    <row r="14" ht="12.75">
      <c r="A14" t="s">
        <v>105</v>
      </c>
    </row>
    <row r="15" spans="1:2" ht="12.75">
      <c r="A15" t="s">
        <v>104</v>
      </c>
      <c r="B15" t="s">
        <v>106</v>
      </c>
    </row>
    <row r="16" ht="12.75">
      <c r="A16">
        <v>0</v>
      </c>
    </row>
    <row r="17" ht="12.75">
      <c r="A17">
        <v>5</v>
      </c>
    </row>
    <row r="18" ht="12.75">
      <c r="A18">
        <v>15</v>
      </c>
    </row>
    <row r="19" ht="12.75">
      <c r="A19">
        <v>40</v>
      </c>
    </row>
    <row r="20" ht="12.75">
      <c r="A20">
        <v>80</v>
      </c>
    </row>
    <row r="21" ht="12.75">
      <c r="A21">
        <v>200</v>
      </c>
    </row>
    <row r="22" ht="12.75">
      <c r="A22">
        <v>400</v>
      </c>
    </row>
    <row r="23" ht="12.75">
      <c r="A23">
        <v>600</v>
      </c>
    </row>
    <row r="24" ht="12.75">
      <c r="A24">
        <v>1000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1"/>
  <sheetViews>
    <sheetView workbookViewId="0" topLeftCell="H1">
      <selection activeCell="T17" sqref="T17"/>
    </sheetView>
  </sheetViews>
  <sheetFormatPr defaultColWidth="9.140625" defaultRowHeight="12.75"/>
  <cols>
    <col min="1" max="1" width="9.57421875" style="0" customWidth="1"/>
    <col min="3" max="3" width="9.7109375" style="0" customWidth="1"/>
  </cols>
  <sheetData>
    <row r="1" spans="1:25" ht="12.75">
      <c r="A1" s="2" t="s">
        <v>12</v>
      </c>
      <c r="C1">
        <v>114.69692857142854</v>
      </c>
      <c r="D1">
        <v>-11.984178571428572</v>
      </c>
      <c r="H1" t="s">
        <v>14</v>
      </c>
      <c r="Q1" t="s">
        <v>31</v>
      </c>
      <c r="R1" t="s">
        <v>32</v>
      </c>
      <c r="S1" s="4" t="s">
        <v>64</v>
      </c>
      <c r="T1" s="4"/>
      <c r="U1" s="4"/>
      <c r="V1" s="4"/>
      <c r="W1" s="4"/>
      <c r="X1" s="4"/>
      <c r="Y1" s="4"/>
    </row>
    <row r="2" spans="3:25" ht="12.75">
      <c r="C2" t="s">
        <v>22</v>
      </c>
      <c r="D2" t="s">
        <v>23</v>
      </c>
      <c r="H2" t="s">
        <v>24</v>
      </c>
      <c r="Q2">
        <v>40</v>
      </c>
      <c r="R2">
        <v>0.76</v>
      </c>
      <c r="S2" s="7">
        <v>0.315</v>
      </c>
      <c r="T2" s="5"/>
      <c r="U2" s="5"/>
      <c r="V2" s="4"/>
      <c r="W2" s="5"/>
      <c r="X2" s="5"/>
      <c r="Y2" s="6"/>
    </row>
    <row r="3" spans="17:25" ht="12.75">
      <c r="Q3">
        <v>60</v>
      </c>
      <c r="R3">
        <v>1.02</v>
      </c>
      <c r="S3" s="7">
        <v>0.543</v>
      </c>
      <c r="T3" s="5"/>
      <c r="U3" s="5"/>
      <c r="V3" s="4"/>
      <c r="W3" s="5"/>
      <c r="X3" s="5"/>
      <c r="Y3" s="5"/>
    </row>
    <row r="4" spans="17:25" ht="12.75">
      <c r="Q4">
        <v>80</v>
      </c>
      <c r="R4">
        <v>1.23</v>
      </c>
      <c r="S4" s="7">
        <v>0.674</v>
      </c>
      <c r="T4" s="5"/>
      <c r="U4" s="5"/>
      <c r="V4" s="4"/>
      <c r="W4" s="5"/>
      <c r="X4" s="5"/>
      <c r="Y4" s="5"/>
    </row>
    <row r="5" spans="17:25" ht="14.25" customHeight="1">
      <c r="Q5">
        <v>100</v>
      </c>
      <c r="R5">
        <v>1.41</v>
      </c>
      <c r="S5" s="19">
        <v>0.729</v>
      </c>
      <c r="T5" s="5"/>
      <c r="U5" s="5"/>
      <c r="V5" s="4"/>
      <c r="W5" s="5"/>
      <c r="X5" s="5"/>
      <c r="Y5" s="5"/>
    </row>
    <row r="6" spans="17:25" ht="12.75">
      <c r="Q6">
        <v>150</v>
      </c>
      <c r="R6">
        <v>1.81</v>
      </c>
      <c r="S6" s="19">
        <v>0.813</v>
      </c>
      <c r="T6" s="4"/>
      <c r="U6" s="4"/>
      <c r="V6" s="4"/>
      <c r="W6" s="4"/>
      <c r="X6" s="4"/>
      <c r="Y6" s="4"/>
    </row>
    <row r="7" spans="17:25" ht="12.75">
      <c r="Q7">
        <v>200</v>
      </c>
      <c r="R7">
        <v>2.25</v>
      </c>
      <c r="S7" s="19">
        <v>0.878</v>
      </c>
      <c r="T7" s="4"/>
      <c r="U7" s="4"/>
      <c r="V7" s="4"/>
      <c r="W7" s="4"/>
      <c r="X7" s="4"/>
      <c r="Y7" s="4"/>
    </row>
    <row r="8" spans="14:25" ht="12.75">
      <c r="N8" s="4"/>
      <c r="O8" s="4"/>
      <c r="P8" s="4"/>
      <c r="Q8" s="4">
        <v>250</v>
      </c>
      <c r="R8" s="4">
        <v>2.54</v>
      </c>
      <c r="S8" s="19">
        <v>0.915</v>
      </c>
      <c r="T8" s="4"/>
      <c r="U8" s="4"/>
      <c r="V8" s="4"/>
      <c r="W8" s="4"/>
      <c r="X8" s="4"/>
      <c r="Y8" s="4"/>
    </row>
    <row r="9" spans="14:25" ht="12.75">
      <c r="N9" s="4"/>
      <c r="O9" s="4"/>
      <c r="P9" s="4"/>
      <c r="Q9" s="8">
        <v>300</v>
      </c>
      <c r="R9" s="8">
        <v>2.75</v>
      </c>
      <c r="S9" s="19">
        <v>0.904</v>
      </c>
      <c r="T9" s="4"/>
      <c r="U9" s="4"/>
      <c r="V9" s="4"/>
      <c r="W9" s="4"/>
      <c r="X9" s="4"/>
      <c r="Y9" s="4"/>
    </row>
    <row r="10" spans="1:19" ht="12.75">
      <c r="A10" t="s">
        <v>7</v>
      </c>
      <c r="B10" t="s">
        <v>25</v>
      </c>
      <c r="N10" s="4"/>
      <c r="O10" s="4"/>
      <c r="P10" s="4"/>
      <c r="Q10" s="8">
        <v>350</v>
      </c>
      <c r="R10" s="8">
        <v>2.83</v>
      </c>
      <c r="S10" s="19">
        <v>0.916</v>
      </c>
    </row>
    <row r="11" spans="14:19" ht="12.75">
      <c r="N11" s="4">
        <v>0.7</v>
      </c>
      <c r="O11" s="7">
        <f>1.2673*N11^3-3.4916*N11^2+2.3155*N11+0.2029</f>
        <v>0.5475498999999998</v>
      </c>
      <c r="P11" s="5"/>
      <c r="Q11" s="8">
        <v>400</v>
      </c>
      <c r="R11" s="8">
        <v>2.84</v>
      </c>
      <c r="S11" s="19"/>
    </row>
    <row r="12" spans="1:19" ht="12.7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N12" s="4">
        <v>0.75</v>
      </c>
      <c r="O12" s="7">
        <f>1.2673*N12^3-3.4916*N12^2+2.3155*N12+0.2029</f>
        <v>0.5101421875000002</v>
      </c>
      <c r="P12" s="4"/>
      <c r="Q12" s="4"/>
      <c r="R12" s="8"/>
      <c r="S12" s="6"/>
    </row>
    <row r="13" spans="1:19" ht="12.75">
      <c r="A13">
        <v>80</v>
      </c>
      <c r="B13">
        <f>(A13+11.9842)/114.6969</f>
        <v>0.8019763393779605</v>
      </c>
      <c r="C13">
        <v>100189</v>
      </c>
      <c r="D13">
        <v>1981</v>
      </c>
      <c r="E13">
        <v>146</v>
      </c>
      <c r="F13">
        <v>768</v>
      </c>
      <c r="G13">
        <f>(F13+E13)/(D13-2*14)</f>
        <v>0.4679979518689196</v>
      </c>
      <c r="N13" s="5">
        <v>0.76</v>
      </c>
      <c r="O13" s="5">
        <f>1.2673*N13^3-3.4916*N13^2+2.3155*N13+0.2029</f>
        <v>0.5022461248</v>
      </c>
      <c r="P13" s="4"/>
      <c r="Q13" s="4"/>
      <c r="R13" s="8"/>
      <c r="S13" s="6"/>
    </row>
    <row r="14" spans="1:19" ht="12.75">
      <c r="A14">
        <v>90</v>
      </c>
      <c r="B14">
        <f>(A14+11.9842)/114.6969</f>
        <v>0.88916265391654</v>
      </c>
      <c r="C14">
        <v>16656</v>
      </c>
      <c r="D14">
        <v>2003</v>
      </c>
      <c r="E14">
        <v>135</v>
      </c>
      <c r="F14">
        <v>638</v>
      </c>
      <c r="G14">
        <f>(F14+E14)/(D14-2*14)</f>
        <v>0.39139240506329115</v>
      </c>
      <c r="N14" s="8">
        <v>0.77</v>
      </c>
      <c r="O14" s="7">
        <f>1.2673*N14^3-3.4916*N14^2+2.3155*N14+0.2029</f>
        <v>0.49422963090000016</v>
      </c>
      <c r="P14" s="4"/>
      <c r="Q14" s="4"/>
      <c r="R14" s="4"/>
      <c r="S14" s="4"/>
    </row>
    <row r="15" spans="1:19" ht="12.75">
      <c r="A15" s="1">
        <v>100</v>
      </c>
      <c r="B15">
        <f>(A15+11.9842)/114.6969</f>
        <v>0.9763489684551195</v>
      </c>
      <c r="C15" s="1">
        <v>13697</v>
      </c>
      <c r="D15" s="1">
        <v>2071</v>
      </c>
      <c r="E15" s="1">
        <v>126</v>
      </c>
      <c r="F15" s="1">
        <v>518</v>
      </c>
      <c r="G15">
        <f>(F15+E15)/(D15-2*14)</f>
        <v>0.31522271169848265</v>
      </c>
      <c r="N15" s="4"/>
      <c r="O15" s="8"/>
      <c r="P15" s="4"/>
      <c r="Q15" s="4"/>
      <c r="R15" s="4"/>
      <c r="S15" s="4"/>
    </row>
    <row r="16" spans="1:19" ht="12.75">
      <c r="A16">
        <v>120</v>
      </c>
      <c r="B16">
        <f>(A16+11.9842)/114.6969</f>
        <v>1.1507215975322784</v>
      </c>
      <c r="C16" s="1">
        <v>9921</v>
      </c>
      <c r="D16" s="1">
        <v>1894</v>
      </c>
      <c r="E16" s="1">
        <v>52</v>
      </c>
      <c r="F16" s="1">
        <v>274</v>
      </c>
      <c r="G16">
        <f>(F16+E16)/(D16-2*14)</f>
        <v>0.17470525187566988</v>
      </c>
      <c r="N16" s="4"/>
      <c r="O16" s="4"/>
      <c r="P16" s="4"/>
      <c r="Q16" s="4"/>
      <c r="R16" s="4"/>
      <c r="S16" s="4"/>
    </row>
    <row r="17" spans="1:19" ht="12.75">
      <c r="A17">
        <v>150</v>
      </c>
      <c r="B17">
        <f>(A17+11.9842)/114.6969</f>
        <v>1.412280541148017</v>
      </c>
      <c r="C17" s="1">
        <v>6308</v>
      </c>
      <c r="D17" s="1">
        <v>2001</v>
      </c>
      <c r="E17" s="1">
        <v>33</v>
      </c>
      <c r="F17" s="1">
        <v>122</v>
      </c>
      <c r="G17">
        <f>(F17+E17)/(D17-2*14)</f>
        <v>0.07856056766345666</v>
      </c>
      <c r="N17" s="4"/>
      <c r="O17" s="7"/>
      <c r="P17" s="4"/>
      <c r="Q17" s="4"/>
      <c r="R17" s="4"/>
      <c r="S17" s="4"/>
    </row>
    <row r="18" spans="3:19" ht="12.75">
      <c r="C18" s="1"/>
      <c r="D18" s="1"/>
      <c r="E18" s="1"/>
      <c r="F18" s="1"/>
      <c r="N18" s="4"/>
      <c r="O18" s="4"/>
      <c r="P18" s="4"/>
      <c r="Q18" s="4"/>
      <c r="R18" s="4"/>
      <c r="S18" s="4"/>
    </row>
    <row r="19" spans="14:19" ht="12.75">
      <c r="N19" s="4"/>
      <c r="O19" s="4"/>
      <c r="P19" s="4"/>
      <c r="Q19" s="4"/>
      <c r="R19" s="4"/>
      <c r="S19" s="4"/>
    </row>
    <row r="20" spans="14:19" ht="12.75">
      <c r="N20" s="4"/>
      <c r="O20" s="4"/>
      <c r="P20" s="4"/>
      <c r="Q20" s="4"/>
      <c r="R20" s="4"/>
      <c r="S20" s="4"/>
    </row>
    <row r="21" spans="14:19" ht="12.75">
      <c r="N21" s="4"/>
      <c r="O21" s="4"/>
      <c r="P21" s="4"/>
      <c r="Q21" s="4"/>
      <c r="R21" s="4"/>
      <c r="S21" s="4"/>
    </row>
    <row r="22" spans="1:19" ht="12.75">
      <c r="A22" t="s">
        <v>8</v>
      </c>
      <c r="N22" s="4"/>
      <c r="O22" s="5"/>
      <c r="P22" s="5"/>
      <c r="Q22" s="4"/>
      <c r="R22" s="4"/>
      <c r="S22" s="4"/>
    </row>
    <row r="23" spans="14:19" ht="12.75">
      <c r="N23" s="4"/>
      <c r="O23" s="4"/>
      <c r="P23" s="4"/>
      <c r="Q23" s="4"/>
      <c r="R23" s="4"/>
      <c r="S23" s="4"/>
    </row>
    <row r="24" spans="1:19" ht="12.75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N24" s="4"/>
      <c r="O24" s="4"/>
      <c r="P24" s="4"/>
      <c r="Q24" s="4"/>
      <c r="R24" s="4"/>
      <c r="S24" s="4"/>
    </row>
    <row r="25" spans="1:19" ht="12.75">
      <c r="A25">
        <v>80</v>
      </c>
      <c r="B25">
        <f aca="true" t="shared" si="0" ref="B25:B30">(A25+11.9842)/114.6969</f>
        <v>0.8019763393779605</v>
      </c>
      <c r="N25" s="4"/>
      <c r="O25" s="4"/>
      <c r="P25" s="4"/>
      <c r="Q25" s="4"/>
      <c r="R25" s="4"/>
      <c r="S25" s="4"/>
    </row>
    <row r="26" spans="1:19" ht="12.75">
      <c r="A26">
        <v>90</v>
      </c>
      <c r="B26">
        <f t="shared" si="0"/>
        <v>0.88916265391654</v>
      </c>
      <c r="N26" s="4"/>
      <c r="O26" s="5"/>
      <c r="P26" s="5"/>
      <c r="Q26" s="4"/>
      <c r="R26" s="4"/>
      <c r="S26" s="4"/>
    </row>
    <row r="27" spans="1:19" ht="12.75">
      <c r="A27" s="1">
        <v>100</v>
      </c>
      <c r="B27">
        <f t="shared" si="0"/>
        <v>0.9763489684551195</v>
      </c>
      <c r="N27" s="4"/>
      <c r="O27" s="4"/>
      <c r="P27" s="4"/>
      <c r="Q27" s="4"/>
      <c r="R27" s="4"/>
      <c r="S27" s="4"/>
    </row>
    <row r="28" spans="1:19" ht="12.75">
      <c r="A28">
        <v>120</v>
      </c>
      <c r="B28">
        <f t="shared" si="0"/>
        <v>1.1507215975322784</v>
      </c>
      <c r="N28" s="4"/>
      <c r="O28" s="4"/>
      <c r="P28" s="4"/>
      <c r="Q28" s="4"/>
      <c r="R28" s="4"/>
      <c r="S28" s="4"/>
    </row>
    <row r="29" spans="1:19" ht="12.75">
      <c r="A29">
        <v>150</v>
      </c>
      <c r="B29">
        <f t="shared" si="0"/>
        <v>1.412280541148017</v>
      </c>
      <c r="N29" s="4"/>
      <c r="O29" s="7"/>
      <c r="P29" s="4"/>
      <c r="Q29" s="4"/>
      <c r="R29" s="4"/>
      <c r="S29" s="4"/>
    </row>
    <row r="30" spans="1:19" ht="12.75">
      <c r="A30">
        <v>180</v>
      </c>
      <c r="B30">
        <f t="shared" si="0"/>
        <v>1.6738394847637554</v>
      </c>
      <c r="N30" s="4"/>
      <c r="O30" s="7"/>
      <c r="P30" s="4"/>
      <c r="Q30" s="4"/>
      <c r="R30" s="4"/>
      <c r="S30" s="4"/>
    </row>
    <row r="31" spans="14:19" ht="12.75">
      <c r="N31" s="4"/>
      <c r="O31" s="4"/>
      <c r="P31" s="4"/>
      <c r="Q31" s="4"/>
      <c r="R31" s="4"/>
      <c r="S31" s="4"/>
    </row>
    <row r="32" spans="14:19" ht="12.75">
      <c r="N32" s="4"/>
      <c r="O32" s="4"/>
      <c r="P32" s="4"/>
      <c r="Q32" s="4"/>
      <c r="R32" s="4"/>
      <c r="S32" s="4"/>
    </row>
    <row r="33" spans="14:19" ht="12.75">
      <c r="N33" s="4"/>
      <c r="O33" s="4"/>
      <c r="P33" s="4"/>
      <c r="Q33" s="4"/>
      <c r="R33" s="4"/>
      <c r="S33" s="4"/>
    </row>
    <row r="34" spans="1:19" ht="12.75">
      <c r="A34" t="s">
        <v>9</v>
      </c>
      <c r="B34" t="s">
        <v>26</v>
      </c>
      <c r="N34" s="4"/>
      <c r="O34" s="4"/>
      <c r="P34" s="4"/>
      <c r="Q34" s="4"/>
      <c r="R34" s="4"/>
      <c r="S34" s="4"/>
    </row>
    <row r="35" spans="14:19" ht="12.75">
      <c r="N35" s="4"/>
      <c r="O35" s="4"/>
      <c r="P35" s="4"/>
      <c r="Q35" s="4"/>
      <c r="R35" s="4"/>
      <c r="S35" s="4"/>
    </row>
    <row r="36" spans="1:17" ht="12.75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N36" s="4"/>
      <c r="O36" s="4"/>
      <c r="P36" s="4"/>
      <c r="Q36" s="4"/>
    </row>
    <row r="37" spans="1:17" ht="12.75">
      <c r="A37">
        <v>80</v>
      </c>
      <c r="B37">
        <f aca="true" t="shared" si="1" ref="B37:B43">(A37+11.9842)/114.6969</f>
        <v>0.8019763393779605</v>
      </c>
      <c r="C37">
        <v>28174</v>
      </c>
      <c r="D37">
        <v>1942</v>
      </c>
      <c r="E37">
        <v>279</v>
      </c>
      <c r="F37">
        <v>1055</v>
      </c>
      <c r="G37">
        <f aca="true" t="shared" si="2" ref="G37:G43">(F37+E37)/(D37-2*14)</f>
        <v>0.696969696969697</v>
      </c>
      <c r="N37" s="4">
        <v>1.01</v>
      </c>
      <c r="O37" s="7">
        <f>0.463*N37^3-1.1771*N37^2+0.0306*N37+1.1981</f>
        <v>0.5052756529999999</v>
      </c>
      <c r="P37" s="5"/>
      <c r="Q37" s="4"/>
    </row>
    <row r="38" spans="1:17" ht="12.75">
      <c r="A38">
        <v>90</v>
      </c>
      <c r="B38">
        <f t="shared" si="1"/>
        <v>0.88916265391654</v>
      </c>
      <c r="C38">
        <v>33069</v>
      </c>
      <c r="D38">
        <v>1846</v>
      </c>
      <c r="E38">
        <v>208</v>
      </c>
      <c r="F38">
        <v>938</v>
      </c>
      <c r="G38">
        <f t="shared" si="2"/>
        <v>0.6303630363036303</v>
      </c>
      <c r="N38" s="5">
        <v>1.02</v>
      </c>
      <c r="O38" s="5">
        <f>0.463*N38^3-1.1771*N38^2+0.0306*N38+1.1981</f>
        <v>0.49599646399999986</v>
      </c>
      <c r="P38" s="4"/>
      <c r="Q38" s="4"/>
    </row>
    <row r="39" spans="1:17" ht="12.75">
      <c r="A39" s="1">
        <v>100</v>
      </c>
      <c r="B39">
        <f t="shared" si="1"/>
        <v>0.9763489684551195</v>
      </c>
      <c r="C39">
        <v>21371</v>
      </c>
      <c r="D39">
        <v>1919</v>
      </c>
      <c r="E39">
        <v>194</v>
      </c>
      <c r="F39">
        <v>834</v>
      </c>
      <c r="G39">
        <f t="shared" si="2"/>
        <v>0.5436277102062401</v>
      </c>
      <c r="N39" s="4">
        <v>1.13</v>
      </c>
      <c r="O39" s="7">
        <f>0.463*N39^3-1.1771*N39^2+0.0306*N39+1.1981</f>
        <v>0.3977003210000001</v>
      </c>
      <c r="P39" s="4"/>
      <c r="Q39" s="4"/>
    </row>
    <row r="40" spans="1:17" ht="12.75">
      <c r="A40" s="1">
        <v>110</v>
      </c>
      <c r="B40">
        <f t="shared" si="1"/>
        <v>1.063535282993699</v>
      </c>
      <c r="C40">
        <v>18998</v>
      </c>
      <c r="D40">
        <v>1993</v>
      </c>
      <c r="E40">
        <v>159</v>
      </c>
      <c r="F40">
        <v>729</v>
      </c>
      <c r="G40">
        <f t="shared" si="2"/>
        <v>0.45190839694656487</v>
      </c>
      <c r="N40" s="8">
        <v>1.14</v>
      </c>
      <c r="O40" s="7">
        <f>0.463*N40^3-1.1771*N40^2+0.0306*N40+1.1981</f>
        <v>0.3891797120000001</v>
      </c>
      <c r="P40" s="4"/>
      <c r="Q40" s="4"/>
    </row>
    <row r="41" spans="1:17" ht="12.75">
      <c r="A41">
        <v>120</v>
      </c>
      <c r="B41">
        <f t="shared" si="1"/>
        <v>1.1507215975322784</v>
      </c>
      <c r="C41">
        <v>16641</v>
      </c>
      <c r="D41">
        <v>1909</v>
      </c>
      <c r="E41">
        <v>118</v>
      </c>
      <c r="F41">
        <v>578</v>
      </c>
      <c r="G41">
        <f t="shared" si="2"/>
        <v>0.3700159489633174</v>
      </c>
      <c r="N41" s="4"/>
      <c r="O41" s="7"/>
      <c r="P41" s="4"/>
      <c r="Q41" s="4"/>
    </row>
    <row r="42" spans="1:17" ht="12.75">
      <c r="A42">
        <v>150</v>
      </c>
      <c r="B42">
        <f t="shared" si="1"/>
        <v>1.412280541148017</v>
      </c>
      <c r="C42">
        <v>11353</v>
      </c>
      <c r="D42">
        <v>1913</v>
      </c>
      <c r="E42">
        <v>70</v>
      </c>
      <c r="F42">
        <v>315</v>
      </c>
      <c r="G42">
        <f t="shared" si="2"/>
        <v>0.20424403183023873</v>
      </c>
      <c r="N42" s="4"/>
      <c r="O42" s="4"/>
      <c r="P42" s="4"/>
      <c r="Q42" s="4"/>
    </row>
    <row r="43" spans="1:17" ht="12.75">
      <c r="A43">
        <v>180</v>
      </c>
      <c r="B43">
        <f t="shared" si="1"/>
        <v>1.6738394847637554</v>
      </c>
      <c r="C43">
        <v>7933</v>
      </c>
      <c r="D43">
        <v>1988</v>
      </c>
      <c r="E43">
        <v>41</v>
      </c>
      <c r="F43">
        <v>197</v>
      </c>
      <c r="G43">
        <f t="shared" si="2"/>
        <v>0.12142857142857143</v>
      </c>
      <c r="N43" s="4"/>
      <c r="O43" s="4"/>
      <c r="P43" s="4"/>
      <c r="Q43" s="4"/>
    </row>
    <row r="44" spans="14:17" ht="12.75">
      <c r="N44" s="4"/>
      <c r="O44" s="7"/>
      <c r="P44" s="4"/>
      <c r="Q44" s="4"/>
    </row>
    <row r="45" spans="14:17" ht="12.75">
      <c r="N45" s="4"/>
      <c r="O45" s="7"/>
      <c r="P45" s="4"/>
      <c r="Q45" s="4"/>
    </row>
    <row r="46" spans="14:17" ht="12.75">
      <c r="N46" s="4"/>
      <c r="O46" s="4"/>
      <c r="P46" s="4"/>
      <c r="Q46" s="4"/>
    </row>
    <row r="47" spans="14:17" ht="12.75">
      <c r="N47" s="4"/>
      <c r="O47" s="4"/>
      <c r="P47" s="4"/>
      <c r="Q47" s="4"/>
    </row>
    <row r="48" spans="14:17" ht="12.75">
      <c r="N48" s="4"/>
      <c r="O48" s="4"/>
      <c r="P48" s="4"/>
      <c r="Q48" s="4"/>
    </row>
    <row r="49" spans="1:17" ht="12.75">
      <c r="A49" t="s">
        <v>10</v>
      </c>
      <c r="N49" s="4"/>
      <c r="O49" s="4"/>
      <c r="P49" s="4"/>
      <c r="Q49" s="4"/>
    </row>
    <row r="50" spans="14:17" ht="12.75">
      <c r="N50" s="4"/>
      <c r="O50" s="4"/>
      <c r="P50" s="4"/>
      <c r="Q50" s="4"/>
    </row>
    <row r="51" spans="1:17" ht="12.75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N51" s="4"/>
      <c r="O51" s="4"/>
      <c r="P51" s="4"/>
      <c r="Q51" s="4"/>
    </row>
    <row r="52" spans="1:17" ht="12.75">
      <c r="A52">
        <v>80</v>
      </c>
      <c r="B52">
        <f aca="true" t="shared" si="3" ref="B52:B58">(A52+11.9842)/114.6969</f>
        <v>0.8019763393779605</v>
      </c>
      <c r="N52" s="4"/>
      <c r="O52" s="4"/>
      <c r="P52" s="4"/>
      <c r="Q52" s="4"/>
    </row>
    <row r="53" spans="1:17" ht="12.75">
      <c r="A53">
        <v>90</v>
      </c>
      <c r="B53">
        <f t="shared" si="3"/>
        <v>0.88916265391654</v>
      </c>
      <c r="N53" s="4"/>
      <c r="O53" s="4"/>
      <c r="P53" s="4"/>
      <c r="Q53" s="4"/>
    </row>
    <row r="54" spans="1:17" ht="12.75">
      <c r="A54" s="1">
        <v>100</v>
      </c>
      <c r="B54">
        <f t="shared" si="3"/>
        <v>0.9763489684551195</v>
      </c>
      <c r="N54" s="4"/>
      <c r="O54" s="5"/>
      <c r="P54" s="5"/>
      <c r="Q54" s="4"/>
    </row>
    <row r="55" spans="1:17" ht="12.75">
      <c r="A55">
        <v>120</v>
      </c>
      <c r="B55">
        <f t="shared" si="3"/>
        <v>1.1507215975322784</v>
      </c>
      <c r="N55" s="4"/>
      <c r="O55" s="4"/>
      <c r="P55" s="4"/>
      <c r="Q55" s="4"/>
    </row>
    <row r="56" spans="1:17" ht="12.75">
      <c r="A56">
        <v>150</v>
      </c>
      <c r="B56">
        <f t="shared" si="3"/>
        <v>1.412280541148017</v>
      </c>
      <c r="N56" s="4"/>
      <c r="O56" s="7"/>
      <c r="P56" s="4"/>
      <c r="Q56" s="4"/>
    </row>
    <row r="57" spans="1:17" ht="12.75">
      <c r="A57">
        <v>180</v>
      </c>
      <c r="B57">
        <f t="shared" si="3"/>
        <v>1.6738394847637554</v>
      </c>
      <c r="N57" s="4"/>
      <c r="O57" s="8"/>
      <c r="P57" s="4"/>
      <c r="Q57" s="4"/>
    </row>
    <row r="58" spans="1:17" ht="12.75">
      <c r="A58">
        <v>210</v>
      </c>
      <c r="B58">
        <f t="shared" si="3"/>
        <v>1.935398428379494</v>
      </c>
      <c r="N58" s="4"/>
      <c r="O58" s="8"/>
      <c r="P58" s="4"/>
      <c r="Q58" s="4"/>
    </row>
    <row r="59" spans="14:17" ht="12.75">
      <c r="N59" s="4"/>
      <c r="O59" s="7"/>
      <c r="P59" s="4"/>
      <c r="Q59" s="4"/>
    </row>
    <row r="60" spans="14:17" ht="12.75">
      <c r="N60" s="4"/>
      <c r="O60" s="7"/>
      <c r="P60" s="4"/>
      <c r="Q60" s="4"/>
    </row>
    <row r="61" spans="14:17" ht="12.75">
      <c r="N61" s="4"/>
      <c r="O61" s="4"/>
      <c r="P61" s="4"/>
      <c r="Q61" s="4"/>
    </row>
    <row r="62" spans="14:17" ht="12.75">
      <c r="N62" s="4"/>
      <c r="O62" s="4"/>
      <c r="P62" s="4"/>
      <c r="Q62" s="4"/>
    </row>
    <row r="64" spans="1:2" ht="12.75">
      <c r="A64" t="s">
        <v>11</v>
      </c>
      <c r="B64" t="s">
        <v>27</v>
      </c>
    </row>
    <row r="65" spans="14:17" ht="12.75">
      <c r="N65" s="4"/>
      <c r="O65" s="4"/>
      <c r="P65" s="4"/>
      <c r="Q65" s="4"/>
    </row>
    <row r="66" spans="1:17" ht="12.75">
      <c r="A66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N66" s="4"/>
      <c r="O66" s="4"/>
      <c r="P66" s="4"/>
      <c r="Q66" s="4"/>
    </row>
    <row r="67" spans="1:17" ht="12.75">
      <c r="A67">
        <v>80</v>
      </c>
      <c r="B67">
        <f aca="true" t="shared" si="4" ref="B67:B75">(A67+11.9842)/114.6969</f>
        <v>0.8019763393779605</v>
      </c>
      <c r="C67">
        <v>33940</v>
      </c>
      <c r="D67">
        <v>1964</v>
      </c>
      <c r="E67">
        <v>307</v>
      </c>
      <c r="F67">
        <v>1185</v>
      </c>
      <c r="G67">
        <f aca="true" t="shared" si="5" ref="G67:G75">(F67+E67)/(D67-2*14)</f>
        <v>0.7706611570247934</v>
      </c>
      <c r="N67" s="5">
        <v>1.23</v>
      </c>
      <c r="O67" s="5">
        <f>-0.4499*N67^4+2.8962*N67^3-6.5024*N67^2+5.443*N67-0.718</f>
        <v>0.4990910475410004</v>
      </c>
      <c r="P67" s="5"/>
      <c r="Q67" s="4"/>
    </row>
    <row r="68" spans="1:17" ht="12.75">
      <c r="A68">
        <v>90</v>
      </c>
      <c r="B68">
        <f t="shared" si="4"/>
        <v>0.88916265391654</v>
      </c>
      <c r="C68">
        <v>29800</v>
      </c>
      <c r="D68">
        <v>1992</v>
      </c>
      <c r="E68">
        <v>310</v>
      </c>
      <c r="F68">
        <v>1147</v>
      </c>
      <c r="G68">
        <f t="shared" si="5"/>
        <v>0.7418533604887984</v>
      </c>
      <c r="N68" s="7">
        <v>1.2</v>
      </c>
      <c r="O68" s="7">
        <f>-0.4499*N68^4+2.8962*N68^3-6.5024*N68^2+5.443*N68-0.718</f>
        <v>0.5218649600000003</v>
      </c>
      <c r="P68" s="4"/>
      <c r="Q68" s="4"/>
    </row>
    <row r="69" spans="1:17" ht="12.75">
      <c r="A69" s="1">
        <v>100</v>
      </c>
      <c r="B69">
        <f t="shared" si="4"/>
        <v>0.9763489684551195</v>
      </c>
      <c r="C69">
        <v>25924</v>
      </c>
      <c r="D69">
        <v>1915</v>
      </c>
      <c r="E69">
        <v>302</v>
      </c>
      <c r="F69">
        <v>971</v>
      </c>
      <c r="G69">
        <f t="shared" si="5"/>
        <v>0.6746157922628511</v>
      </c>
      <c r="N69" s="7">
        <v>1.3</v>
      </c>
      <c r="O69" s="7">
        <f>-0.4499*N69^4+2.8962*N69^3-6.5024*N69^2+5.443*N69-0.718</f>
        <v>0.4468360099999993</v>
      </c>
      <c r="P69" s="4"/>
      <c r="Q69" s="4"/>
    </row>
    <row r="70" spans="1:17" ht="12.75">
      <c r="A70">
        <v>120</v>
      </c>
      <c r="B70">
        <f t="shared" si="4"/>
        <v>1.1507215975322784</v>
      </c>
      <c r="C70">
        <v>22176</v>
      </c>
      <c r="D70">
        <v>1923</v>
      </c>
      <c r="E70">
        <v>198</v>
      </c>
      <c r="F70">
        <v>902</v>
      </c>
      <c r="G70">
        <f t="shared" si="5"/>
        <v>0.5804749340369393</v>
      </c>
      <c r="N70" s="7">
        <v>1.22</v>
      </c>
      <c r="O70" s="7">
        <f>-0.4499*N70^4+2.8962*N70^3-6.5024*N70^2+5.443*N70-0.718</f>
        <v>0.5066677990560002</v>
      </c>
      <c r="P70" s="4"/>
      <c r="Q70" s="4"/>
    </row>
    <row r="71" spans="1:17" ht="12.75">
      <c r="A71">
        <v>130</v>
      </c>
      <c r="B71">
        <f t="shared" si="4"/>
        <v>1.237907912070858</v>
      </c>
      <c r="C71">
        <v>19484</v>
      </c>
      <c r="D71">
        <v>1947</v>
      </c>
      <c r="E71">
        <v>164</v>
      </c>
      <c r="F71">
        <v>762</v>
      </c>
      <c r="G71">
        <f t="shared" si="5"/>
        <v>0.4825429911412194</v>
      </c>
      <c r="N71" s="4"/>
      <c r="O71" s="9"/>
      <c r="P71" s="4"/>
      <c r="Q71" s="4"/>
    </row>
    <row r="72" spans="1:17" ht="12.75">
      <c r="A72">
        <v>150</v>
      </c>
      <c r="B72">
        <f t="shared" si="4"/>
        <v>1.412280541148017</v>
      </c>
      <c r="C72">
        <v>15877</v>
      </c>
      <c r="D72">
        <v>1928</v>
      </c>
      <c r="E72">
        <v>109</v>
      </c>
      <c r="F72">
        <v>562</v>
      </c>
      <c r="G72">
        <f t="shared" si="5"/>
        <v>0.3531578947368421</v>
      </c>
      <c r="N72" s="4"/>
      <c r="O72" s="5"/>
      <c r="P72" s="4"/>
      <c r="Q72" s="4"/>
    </row>
    <row r="73" spans="1:17" ht="12.75">
      <c r="A73">
        <v>180</v>
      </c>
      <c r="B73">
        <f t="shared" si="4"/>
        <v>1.6738394847637554</v>
      </c>
      <c r="C73">
        <v>11576</v>
      </c>
      <c r="D73">
        <v>1987</v>
      </c>
      <c r="E73">
        <v>87</v>
      </c>
      <c r="F73">
        <v>389</v>
      </c>
      <c r="G73">
        <f t="shared" si="5"/>
        <v>0.24298111281265952</v>
      </c>
      <c r="N73" s="4"/>
      <c r="O73" s="4"/>
      <c r="P73" s="4"/>
      <c r="Q73" s="4"/>
    </row>
    <row r="74" spans="1:17" ht="12.75">
      <c r="A74">
        <v>210</v>
      </c>
      <c r="B74">
        <f t="shared" si="4"/>
        <v>1.935398428379494</v>
      </c>
      <c r="C74">
        <v>8283</v>
      </c>
      <c r="D74">
        <v>1964</v>
      </c>
      <c r="E74">
        <v>56</v>
      </c>
      <c r="F74">
        <v>205</v>
      </c>
      <c r="G74">
        <f t="shared" si="5"/>
        <v>0.13481404958677687</v>
      </c>
      <c r="N74" s="4"/>
      <c r="O74" s="7"/>
      <c r="P74" s="4"/>
      <c r="Q74" s="4"/>
    </row>
    <row r="75" spans="1:17" ht="12.75">
      <c r="A75">
        <v>240</v>
      </c>
      <c r="B75">
        <f t="shared" si="4"/>
        <v>2.1969573719952327</v>
      </c>
      <c r="C75">
        <v>6653</v>
      </c>
      <c r="D75">
        <v>1967</v>
      </c>
      <c r="E75">
        <v>44</v>
      </c>
      <c r="F75">
        <v>126</v>
      </c>
      <c r="G75">
        <f t="shared" si="5"/>
        <v>0.08767405879319237</v>
      </c>
      <c r="N75" s="4"/>
      <c r="O75" s="7"/>
      <c r="P75" s="4"/>
      <c r="Q75" s="4"/>
    </row>
    <row r="76" spans="14:17" ht="12.75">
      <c r="N76" s="4"/>
      <c r="O76" s="4"/>
      <c r="P76" s="4"/>
      <c r="Q76" s="4"/>
    </row>
    <row r="77" spans="14:17" ht="12.75">
      <c r="N77" s="4"/>
      <c r="O77" s="4"/>
      <c r="P77" s="4"/>
      <c r="Q77" s="4"/>
    </row>
    <row r="78" spans="14:17" ht="12.75">
      <c r="N78" s="4"/>
      <c r="O78" s="4"/>
      <c r="P78" s="4"/>
      <c r="Q78" s="4"/>
    </row>
    <row r="79" spans="14:17" ht="12.75">
      <c r="N79" s="4"/>
      <c r="O79" s="4"/>
      <c r="P79" s="4"/>
      <c r="Q79" s="4"/>
    </row>
    <row r="80" spans="1:17" ht="12.75">
      <c r="A80" t="s">
        <v>15</v>
      </c>
      <c r="N80" s="4"/>
      <c r="O80" s="4"/>
      <c r="P80" s="4"/>
      <c r="Q80" s="4"/>
    </row>
    <row r="81" spans="14:17" ht="12.75">
      <c r="N81" s="4"/>
      <c r="O81" s="4"/>
      <c r="P81" s="4"/>
      <c r="Q81" s="4"/>
    </row>
    <row r="82" spans="1:17" ht="12.75">
      <c r="A82" t="s">
        <v>0</v>
      </c>
      <c r="B82" t="s">
        <v>1</v>
      </c>
      <c r="C82" t="s">
        <v>2</v>
      </c>
      <c r="D82" t="s">
        <v>3</v>
      </c>
      <c r="E82" t="s">
        <v>4</v>
      </c>
      <c r="F82" t="s">
        <v>5</v>
      </c>
      <c r="G82" t="s">
        <v>6</v>
      </c>
      <c r="N82" s="4"/>
      <c r="O82" s="4"/>
      <c r="P82" s="4"/>
      <c r="Q82" s="4"/>
    </row>
    <row r="83" spans="1:17" ht="12.75">
      <c r="A83">
        <v>100</v>
      </c>
      <c r="B83">
        <f aca="true" t="shared" si="6" ref="B83:B88">(A83+11.9842)/114.6969</f>
        <v>0.9763489684551195</v>
      </c>
      <c r="N83" s="4"/>
      <c r="O83" s="4"/>
      <c r="P83" s="4"/>
      <c r="Q83" s="4"/>
    </row>
    <row r="84" spans="1:17" ht="12.75">
      <c r="A84">
        <v>110</v>
      </c>
      <c r="B84">
        <f t="shared" si="6"/>
        <v>1.063535282993699</v>
      </c>
      <c r="N84" s="4"/>
      <c r="O84" s="7"/>
      <c r="P84" s="7"/>
      <c r="Q84" s="4"/>
    </row>
    <row r="85" spans="1:17" ht="12.75">
      <c r="A85">
        <v>130</v>
      </c>
      <c r="B85">
        <f t="shared" si="6"/>
        <v>1.237907912070858</v>
      </c>
      <c r="N85" s="4"/>
      <c r="O85" s="5"/>
      <c r="P85" s="5"/>
      <c r="Q85" s="4"/>
    </row>
    <row r="86" spans="1:17" ht="12.75">
      <c r="A86">
        <v>135</v>
      </c>
      <c r="B86">
        <f t="shared" si="6"/>
        <v>1.2815010693401476</v>
      </c>
      <c r="N86" s="4"/>
      <c r="O86" s="4"/>
      <c r="P86" s="4"/>
      <c r="Q86" s="4"/>
    </row>
    <row r="87" spans="1:17" ht="12.75">
      <c r="A87">
        <v>140</v>
      </c>
      <c r="B87">
        <f t="shared" si="6"/>
        <v>1.3250942266094374</v>
      </c>
      <c r="N87" s="4"/>
      <c r="O87" s="4"/>
      <c r="P87" s="4"/>
      <c r="Q87" s="4"/>
    </row>
    <row r="88" spans="1:16" ht="12.75">
      <c r="A88">
        <v>170</v>
      </c>
      <c r="B88">
        <f t="shared" si="6"/>
        <v>1.586653170225176</v>
      </c>
      <c r="N88" s="4"/>
      <c r="O88" s="4"/>
      <c r="P88" s="4"/>
    </row>
    <row r="92" spans="1:17" ht="12.75">
      <c r="A92" t="s">
        <v>13</v>
      </c>
      <c r="B92" t="s">
        <v>28</v>
      </c>
      <c r="C92" s="3"/>
      <c r="D92" s="3"/>
      <c r="P92" s="2"/>
      <c r="Q92" s="2"/>
    </row>
    <row r="94" spans="1:7" ht="12.75">
      <c r="A94" t="s">
        <v>0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</row>
    <row r="95" spans="1:16" ht="12.75">
      <c r="A95">
        <v>80</v>
      </c>
      <c r="B95">
        <f aca="true" t="shared" si="7" ref="B95:B103">(A95+11.9842)/114.6969</f>
        <v>0.8019763393779605</v>
      </c>
      <c r="C95">
        <v>47677</v>
      </c>
      <c r="D95">
        <v>1928</v>
      </c>
      <c r="E95">
        <v>287</v>
      </c>
      <c r="F95">
        <v>1240</v>
      </c>
      <c r="G95">
        <f aca="true" t="shared" si="8" ref="G95:G103">(F95+E95)/(D95-2*14)</f>
        <v>0.8036842105263158</v>
      </c>
      <c r="O95">
        <v>1.4</v>
      </c>
      <c r="P95">
        <f>-0.1569*O95^4+1.2804*O95^3-3.5351*O95^2+3.4429*O95-0.2938</f>
        <v>0.5081345599999993</v>
      </c>
    </row>
    <row r="96" spans="1:16" ht="12.75">
      <c r="A96">
        <v>90</v>
      </c>
      <c r="B96">
        <f t="shared" si="7"/>
        <v>0.88916265391654</v>
      </c>
      <c r="C96">
        <v>36433</v>
      </c>
      <c r="D96">
        <v>1958</v>
      </c>
      <c r="E96">
        <v>272</v>
      </c>
      <c r="F96">
        <v>1190</v>
      </c>
      <c r="G96">
        <f t="shared" si="8"/>
        <v>0.7575129533678756</v>
      </c>
      <c r="O96" s="2">
        <v>1.41</v>
      </c>
      <c r="P96" s="2">
        <f>-0.1569*O96^4+1.2804*O96^3-3.5351*O96^2+3.4429*O96-0.2938</f>
        <v>0.5016470797909989</v>
      </c>
    </row>
    <row r="97" spans="1:16" ht="12.75">
      <c r="A97" s="1">
        <v>100</v>
      </c>
      <c r="B97">
        <f t="shared" si="7"/>
        <v>0.9763489684551195</v>
      </c>
      <c r="C97">
        <v>31535</v>
      </c>
      <c r="D97">
        <v>1911</v>
      </c>
      <c r="E97">
        <v>254</v>
      </c>
      <c r="F97">
        <v>1119</v>
      </c>
      <c r="G97">
        <f t="shared" si="8"/>
        <v>0.7291556027615507</v>
      </c>
      <c r="O97">
        <v>1.42</v>
      </c>
      <c r="P97">
        <f>-0.1569*O97^4+1.2804*O97^3-3.5351*O97^2+3.4429*O97-0.2938</f>
        <v>0.49516147537599947</v>
      </c>
    </row>
    <row r="98" spans="1:15" ht="12.75">
      <c r="A98">
        <v>120</v>
      </c>
      <c r="B98">
        <f t="shared" si="7"/>
        <v>1.1507215975322784</v>
      </c>
      <c r="C98">
        <v>26732</v>
      </c>
      <c r="D98">
        <v>1938</v>
      </c>
      <c r="E98">
        <v>246</v>
      </c>
      <c r="F98">
        <v>1082</v>
      </c>
      <c r="G98">
        <f t="shared" si="8"/>
        <v>0.6952879581151833</v>
      </c>
      <c r="O98" s="1"/>
    </row>
    <row r="99" spans="1:15" ht="12.75">
      <c r="A99">
        <v>150</v>
      </c>
      <c r="B99">
        <f t="shared" si="7"/>
        <v>1.412280541148017</v>
      </c>
      <c r="C99">
        <v>20569</v>
      </c>
      <c r="D99">
        <v>1987</v>
      </c>
      <c r="E99">
        <v>170</v>
      </c>
      <c r="F99">
        <v>785</v>
      </c>
      <c r="G99">
        <f t="shared" si="8"/>
        <v>0.48749361919346607</v>
      </c>
      <c r="O99" s="1"/>
    </row>
    <row r="100" spans="1:16" ht="12.75">
      <c r="A100">
        <v>180</v>
      </c>
      <c r="B100">
        <f t="shared" si="7"/>
        <v>1.6738394847637554</v>
      </c>
      <c r="C100">
        <v>15859</v>
      </c>
      <c r="D100">
        <v>1975</v>
      </c>
      <c r="E100">
        <v>125</v>
      </c>
      <c r="F100">
        <v>525</v>
      </c>
      <c r="G100">
        <f t="shared" si="8"/>
        <v>0.33384694401643555</v>
      </c>
      <c r="O100" s="2"/>
      <c r="P100" s="2"/>
    </row>
    <row r="101" spans="1:15" ht="12.75">
      <c r="A101">
        <v>210</v>
      </c>
      <c r="B101">
        <f t="shared" si="7"/>
        <v>1.935398428379494</v>
      </c>
      <c r="C101">
        <v>11547</v>
      </c>
      <c r="D101">
        <v>2058</v>
      </c>
      <c r="E101">
        <v>106</v>
      </c>
      <c r="F101">
        <v>327</v>
      </c>
      <c r="G101">
        <f t="shared" si="8"/>
        <v>0.21330049261083744</v>
      </c>
      <c r="O101" s="1"/>
    </row>
    <row r="102" spans="1:15" ht="12.75">
      <c r="A102">
        <v>240</v>
      </c>
      <c r="B102">
        <f t="shared" si="7"/>
        <v>2.1969573719952327</v>
      </c>
      <c r="C102">
        <v>9146</v>
      </c>
      <c r="D102">
        <v>1928</v>
      </c>
      <c r="E102">
        <v>45</v>
      </c>
      <c r="F102">
        <v>200</v>
      </c>
      <c r="G102">
        <f t="shared" si="8"/>
        <v>0.12894736842105264</v>
      </c>
      <c r="O102" s="1"/>
    </row>
    <row r="103" spans="1:15" ht="12.75">
      <c r="A103">
        <v>270</v>
      </c>
      <c r="B103">
        <f t="shared" si="7"/>
        <v>2.458516315610971</v>
      </c>
      <c r="C103">
        <v>7426</v>
      </c>
      <c r="D103">
        <v>1978</v>
      </c>
      <c r="E103">
        <v>40</v>
      </c>
      <c r="F103">
        <v>150</v>
      </c>
      <c r="G103">
        <f t="shared" si="8"/>
        <v>0.09743589743589744</v>
      </c>
      <c r="O103" s="1"/>
    </row>
    <row r="109" spans="1:4" ht="12.75">
      <c r="A109" t="s">
        <v>17</v>
      </c>
      <c r="B109" t="s">
        <v>29</v>
      </c>
      <c r="C109" s="3"/>
      <c r="D109" s="3"/>
    </row>
    <row r="111" spans="1:7" ht="12.75">
      <c r="A111" t="s">
        <v>0</v>
      </c>
      <c r="B111" t="s">
        <v>1</v>
      </c>
      <c r="C111" t="s">
        <v>2</v>
      </c>
      <c r="D111" t="s">
        <v>3</v>
      </c>
      <c r="E111" t="s">
        <v>4</v>
      </c>
      <c r="F111" t="s">
        <v>5</v>
      </c>
      <c r="G111" t="s">
        <v>6</v>
      </c>
    </row>
    <row r="112" spans="1:7" ht="12.75">
      <c r="A112" s="1">
        <v>80</v>
      </c>
      <c r="B112" s="1">
        <f>(A112+11.9842)/114.6969</f>
        <v>0.8019763393779605</v>
      </c>
      <c r="C112" s="1">
        <v>66336</v>
      </c>
      <c r="D112" s="1">
        <v>2077</v>
      </c>
      <c r="E112" s="1">
        <v>408</v>
      </c>
      <c r="F112" s="1">
        <v>1450</v>
      </c>
      <c r="G112" s="1">
        <f aca="true" t="shared" si="9" ref="G112:G118">(F112+E112)/(D112-2*14)</f>
        <v>0.9067837969741337</v>
      </c>
    </row>
    <row r="113" spans="1:16" ht="12.75">
      <c r="A113">
        <v>90</v>
      </c>
      <c r="B113">
        <f>(A113+11.9842)/114.6969</f>
        <v>0.88916265391654</v>
      </c>
      <c r="C113">
        <v>45499</v>
      </c>
      <c r="D113">
        <v>2028</v>
      </c>
      <c r="E113">
        <v>388</v>
      </c>
      <c r="F113">
        <v>1343</v>
      </c>
      <c r="G113">
        <f t="shared" si="9"/>
        <v>0.8655</v>
      </c>
      <c r="O113">
        <v>1.8</v>
      </c>
      <c r="P113">
        <f>0.0225*O113^4-0.0573*O113^3-0.1552*O113^2+0.1104*O113+0.9054</f>
        <v>0.5032943999999999</v>
      </c>
    </row>
    <row r="114" spans="1:16" ht="12.75">
      <c r="A114">
        <v>100</v>
      </c>
      <c r="B114">
        <f>(A114+11.9842)/114.6969</f>
        <v>0.9763489684551195</v>
      </c>
      <c r="C114">
        <v>41863</v>
      </c>
      <c r="D114">
        <v>2111</v>
      </c>
      <c r="E114">
        <v>335</v>
      </c>
      <c r="F114">
        <v>1358</v>
      </c>
      <c r="G114">
        <f t="shared" si="9"/>
        <v>0.8127700432069132</v>
      </c>
      <c r="O114" s="2">
        <v>1.81</v>
      </c>
      <c r="P114" s="2">
        <f>0.0225*O114^4-0.0573*O114^3-0.1552*O114^2+0.1104*O114+0.9054</f>
        <v>0.49848782292499993</v>
      </c>
    </row>
    <row r="115" spans="1:17" ht="12.75">
      <c r="A115">
        <v>120</v>
      </c>
      <c r="B115">
        <f aca="true" t="shared" si="10" ref="B115:B122">(A115+11.9842)/114.6969</f>
        <v>1.1507215975322784</v>
      </c>
      <c r="C115">
        <v>36910</v>
      </c>
      <c r="D115">
        <v>2046</v>
      </c>
      <c r="E115">
        <v>331</v>
      </c>
      <c r="F115">
        <v>1260</v>
      </c>
      <c r="G115">
        <f t="shared" si="9"/>
        <v>0.788404360753221</v>
      </c>
      <c r="O115">
        <v>2.08</v>
      </c>
      <c r="P115">
        <f>0.0225*O115^4-0.0573*O115^3-0.1552*O115^2+0.1104*O115+0.9054</f>
        <v>0.36908614399999995</v>
      </c>
      <c r="Q115" s="2"/>
    </row>
    <row r="116" spans="1:7" ht="12.75">
      <c r="A116">
        <v>150</v>
      </c>
      <c r="B116">
        <f t="shared" si="10"/>
        <v>1.412280541148017</v>
      </c>
      <c r="D116">
        <v>2013</v>
      </c>
      <c r="E116">
        <v>273</v>
      </c>
      <c r="F116">
        <v>1082</v>
      </c>
      <c r="G116">
        <f t="shared" si="9"/>
        <v>0.6826196473551638</v>
      </c>
    </row>
    <row r="117" spans="1:7" ht="12.75">
      <c r="A117">
        <v>180</v>
      </c>
      <c r="B117">
        <f t="shared" si="10"/>
        <v>1.6738394847637554</v>
      </c>
      <c r="C117">
        <v>24575</v>
      </c>
      <c r="D117">
        <v>2057</v>
      </c>
      <c r="E117">
        <v>216</v>
      </c>
      <c r="F117">
        <v>926</v>
      </c>
      <c r="G117">
        <f t="shared" si="9"/>
        <v>0.562838836865451</v>
      </c>
    </row>
    <row r="118" spans="1:7" ht="12.75">
      <c r="A118">
        <v>195</v>
      </c>
      <c r="B118">
        <f t="shared" si="10"/>
        <v>1.8046189565716249</v>
      </c>
      <c r="D118">
        <v>1949</v>
      </c>
      <c r="E118">
        <v>196</v>
      </c>
      <c r="F118">
        <v>751</v>
      </c>
      <c r="G118">
        <f t="shared" si="9"/>
        <v>0.49297241020301924</v>
      </c>
    </row>
    <row r="119" spans="1:7" ht="12.75">
      <c r="A119">
        <v>210</v>
      </c>
      <c r="B119">
        <f t="shared" si="10"/>
        <v>1.935398428379494</v>
      </c>
      <c r="D119">
        <v>2063</v>
      </c>
      <c r="E119">
        <v>184</v>
      </c>
      <c r="F119">
        <v>720</v>
      </c>
      <c r="G119">
        <f>(F119+E119)/(D119-2*14)</f>
        <v>0.4442260442260442</v>
      </c>
    </row>
    <row r="120" spans="1:7" ht="12.75">
      <c r="A120">
        <v>240</v>
      </c>
      <c r="B120">
        <f t="shared" si="10"/>
        <v>2.1969573719952327</v>
      </c>
      <c r="C120">
        <v>15723</v>
      </c>
      <c r="D120">
        <v>1980</v>
      </c>
      <c r="E120">
        <v>119</v>
      </c>
      <c r="F120">
        <v>496</v>
      </c>
      <c r="G120">
        <f>(F120+E120)/(D120-2*14)</f>
        <v>0.3150614754098361</v>
      </c>
    </row>
    <row r="121" spans="1:7" ht="12.75">
      <c r="A121">
        <v>270</v>
      </c>
      <c r="B121">
        <f t="shared" si="10"/>
        <v>2.458516315610971</v>
      </c>
      <c r="C121">
        <v>12521</v>
      </c>
      <c r="D121">
        <v>2043</v>
      </c>
      <c r="E121">
        <v>87</v>
      </c>
      <c r="F121">
        <v>337</v>
      </c>
      <c r="G121">
        <f>(F121+E121)/(D121-2*14)</f>
        <v>0.21042183622828783</v>
      </c>
    </row>
    <row r="122" spans="1:7" ht="12.75">
      <c r="A122">
        <v>300</v>
      </c>
      <c r="B122">
        <f t="shared" si="10"/>
        <v>2.7200752592267095</v>
      </c>
      <c r="C122">
        <v>10266</v>
      </c>
      <c r="D122">
        <v>1902</v>
      </c>
      <c r="E122">
        <v>47</v>
      </c>
      <c r="F122">
        <v>208</v>
      </c>
      <c r="G122">
        <f>(F122+E122)/(D122-2*14)</f>
        <v>0.1360725720384205</v>
      </c>
    </row>
    <row r="129" spans="1:4" ht="12.75">
      <c r="A129" t="s">
        <v>16</v>
      </c>
      <c r="C129" s="3"/>
      <c r="D129" s="3"/>
    </row>
    <row r="131" spans="1:7" ht="12.75">
      <c r="A131" t="s">
        <v>0</v>
      </c>
      <c r="B131" t="s">
        <v>1</v>
      </c>
      <c r="C131" t="s">
        <v>2</v>
      </c>
      <c r="D131" t="s">
        <v>3</v>
      </c>
      <c r="E131" t="s">
        <v>4</v>
      </c>
      <c r="F131" t="s">
        <v>5</v>
      </c>
      <c r="G131" t="s">
        <v>6</v>
      </c>
    </row>
    <row r="132" spans="1:16" ht="12.75">
      <c r="A132">
        <v>80</v>
      </c>
      <c r="B132">
        <f aca="true" t="shared" si="11" ref="B132:B140">(A132+11.9842)/114.6969</f>
        <v>0.8019763393779605</v>
      </c>
      <c r="C132">
        <v>62743</v>
      </c>
      <c r="D132">
        <v>2098</v>
      </c>
      <c r="E132">
        <v>442</v>
      </c>
      <c r="F132">
        <v>1445</v>
      </c>
      <c r="G132">
        <f aca="true" t="shared" si="12" ref="G132:G140">(F132+E132)/(D132-2*14)</f>
        <v>0.9115942028985508</v>
      </c>
      <c r="O132">
        <v>2.24</v>
      </c>
      <c r="P132">
        <f>0.0423*O132^4-0.294*O132^3+0.6415*O132^2-0.7726*O132+1.2541</f>
        <v>0.5028336468479992</v>
      </c>
    </row>
    <row r="133" spans="1:16" ht="12.75">
      <c r="A133">
        <v>100</v>
      </c>
      <c r="B133">
        <f t="shared" si="11"/>
        <v>0.9763489684551195</v>
      </c>
      <c r="C133">
        <v>66329</v>
      </c>
      <c r="D133">
        <v>2136</v>
      </c>
      <c r="E133">
        <v>418</v>
      </c>
      <c r="F133">
        <v>1433</v>
      </c>
      <c r="G133">
        <f t="shared" si="12"/>
        <v>0.8780834914611005</v>
      </c>
      <c r="O133" s="2">
        <v>2.25</v>
      </c>
      <c r="P133" s="2">
        <f>0.0423*O133^4-0.294*O133^3+0.6415*O133^2-0.7726*O133+1.2541</f>
        <v>0.4986027343749999</v>
      </c>
    </row>
    <row r="134" spans="1:16" ht="12.75">
      <c r="A134">
        <v>150</v>
      </c>
      <c r="B134">
        <f t="shared" si="11"/>
        <v>1.412280541148017</v>
      </c>
      <c r="C134">
        <v>47255</v>
      </c>
      <c r="D134">
        <v>2149</v>
      </c>
      <c r="E134">
        <v>366</v>
      </c>
      <c r="F134">
        <v>1296</v>
      </c>
      <c r="G134">
        <f t="shared" si="12"/>
        <v>0.7835926449787836</v>
      </c>
      <c r="O134">
        <v>2.23</v>
      </c>
      <c r="P134">
        <f>0.0423*O134^4-0.294*O134^3+0.6415*O134^2-0.7726*O134+1.2541</f>
        <v>0.5070524175429998</v>
      </c>
    </row>
    <row r="135" spans="1:16" ht="12.75">
      <c r="A135">
        <v>190</v>
      </c>
      <c r="B135">
        <f t="shared" si="11"/>
        <v>1.761025799302335</v>
      </c>
      <c r="C135">
        <v>56387</v>
      </c>
      <c r="D135">
        <v>2113</v>
      </c>
      <c r="E135">
        <v>292</v>
      </c>
      <c r="F135">
        <v>1124</v>
      </c>
      <c r="G135">
        <f t="shared" si="12"/>
        <v>0.679136690647482</v>
      </c>
      <c r="P135" s="2"/>
    </row>
    <row r="136" spans="1:7" ht="12.75">
      <c r="A136">
        <v>220</v>
      </c>
      <c r="B136">
        <f t="shared" si="11"/>
        <v>2.0225847429180734</v>
      </c>
      <c r="D136">
        <v>1988</v>
      </c>
      <c r="E136">
        <v>250</v>
      </c>
      <c r="F136">
        <v>916</v>
      </c>
      <c r="G136">
        <f t="shared" si="12"/>
        <v>0.5948979591836735</v>
      </c>
    </row>
    <row r="137" spans="1:7" ht="12.75">
      <c r="A137">
        <v>250</v>
      </c>
      <c r="B137">
        <f t="shared" si="11"/>
        <v>2.2841436865338123</v>
      </c>
      <c r="D137">
        <v>2005</v>
      </c>
      <c r="E137">
        <v>172</v>
      </c>
      <c r="F137">
        <v>784</v>
      </c>
      <c r="G137">
        <f t="shared" si="12"/>
        <v>0.48356095093576124</v>
      </c>
    </row>
    <row r="138" spans="1:7" ht="12.75">
      <c r="A138">
        <v>270</v>
      </c>
      <c r="B138">
        <f t="shared" si="11"/>
        <v>2.458516315610971</v>
      </c>
      <c r="D138">
        <v>1894</v>
      </c>
      <c r="E138">
        <v>154</v>
      </c>
      <c r="F138">
        <v>622</v>
      </c>
      <c r="G138">
        <f t="shared" si="12"/>
        <v>0.41586280814576637</v>
      </c>
    </row>
    <row r="139" spans="1:7" ht="12.75">
      <c r="A139">
        <v>300</v>
      </c>
      <c r="B139">
        <f t="shared" si="11"/>
        <v>2.7200752592267095</v>
      </c>
      <c r="C139">
        <v>43495</v>
      </c>
      <c r="D139">
        <v>1988</v>
      </c>
      <c r="E139">
        <v>125</v>
      </c>
      <c r="F139">
        <v>449</v>
      </c>
      <c r="G139">
        <f t="shared" si="12"/>
        <v>0.29285714285714287</v>
      </c>
    </row>
    <row r="140" spans="1:7" ht="12.75">
      <c r="A140">
        <v>330</v>
      </c>
      <c r="B140">
        <f t="shared" si="11"/>
        <v>2.9816342028424483</v>
      </c>
      <c r="C140">
        <v>24898</v>
      </c>
      <c r="D140">
        <v>2253</v>
      </c>
      <c r="E140">
        <v>92</v>
      </c>
      <c r="F140">
        <v>371</v>
      </c>
      <c r="G140">
        <f t="shared" si="12"/>
        <v>0.20808988764044944</v>
      </c>
    </row>
    <row r="148" spans="1:4" ht="12.75">
      <c r="A148" t="s">
        <v>18</v>
      </c>
      <c r="C148" s="3"/>
      <c r="D148" s="3"/>
    </row>
    <row r="150" spans="1:16" ht="12.75">
      <c r="A150" t="s">
        <v>0</v>
      </c>
      <c r="B150" t="s">
        <v>1</v>
      </c>
      <c r="C150" t="s">
        <v>2</v>
      </c>
      <c r="D150" t="s">
        <v>3</v>
      </c>
      <c r="E150" t="s">
        <v>4</v>
      </c>
      <c r="F150" t="s">
        <v>5</v>
      </c>
      <c r="G150" t="s">
        <v>6</v>
      </c>
      <c r="O150">
        <v>2.5</v>
      </c>
      <c r="P150">
        <f>-0.0175*O150^4+0.2181*O150^3-0.9477*O150^2+1.3634*O150+0.3058</f>
        <v>0.5153937500000003</v>
      </c>
    </row>
    <row r="151" spans="1:16" ht="12.75">
      <c r="A151">
        <v>80</v>
      </c>
      <c r="B151">
        <f aca="true" t="shared" si="13" ref="B151:B160">(A151+11.9842)/114.6969</f>
        <v>0.8019763393779605</v>
      </c>
      <c r="D151">
        <v>2251</v>
      </c>
      <c r="E151">
        <v>441</v>
      </c>
      <c r="F151">
        <v>1556</v>
      </c>
      <c r="G151">
        <f aca="true" t="shared" si="14" ref="G151:G160">(F151+E151)/(D151-2*14)</f>
        <v>0.8983355825461089</v>
      </c>
      <c r="O151">
        <v>2.52</v>
      </c>
      <c r="P151">
        <f>-0.0175*O151^4+0.2181*O151^3-0.9477*O151^2+1.3634*O151+0.3058</f>
        <v>0.5078173119999998</v>
      </c>
    </row>
    <row r="152" spans="1:16" ht="12.75">
      <c r="A152">
        <v>100</v>
      </c>
      <c r="B152">
        <f t="shared" si="13"/>
        <v>0.9763489684551195</v>
      </c>
      <c r="C152">
        <v>105758</v>
      </c>
      <c r="D152">
        <v>2080</v>
      </c>
      <c r="E152">
        <v>446</v>
      </c>
      <c r="F152">
        <v>1432</v>
      </c>
      <c r="G152">
        <f t="shared" si="14"/>
        <v>0.9152046783625731</v>
      </c>
      <c r="O152" s="2">
        <v>2.54</v>
      </c>
      <c r="P152" s="2">
        <f>-0.0175*O152^4+0.2181*O152^3-0.9477*O152^2+1.3634*O152+0.3058</f>
        <v>0.5002683435999993</v>
      </c>
    </row>
    <row r="153" spans="1:7" ht="12.75">
      <c r="A153">
        <v>210</v>
      </c>
      <c r="B153">
        <f t="shared" si="13"/>
        <v>1.935398428379494</v>
      </c>
      <c r="C153">
        <v>69230</v>
      </c>
      <c r="D153">
        <v>2138</v>
      </c>
      <c r="E153">
        <v>333</v>
      </c>
      <c r="F153">
        <v>1236</v>
      </c>
      <c r="G153">
        <f t="shared" si="14"/>
        <v>0.7436018957345971</v>
      </c>
    </row>
    <row r="154" spans="1:7" ht="12.75">
      <c r="A154">
        <v>240</v>
      </c>
      <c r="B154">
        <f t="shared" si="13"/>
        <v>2.1969573719952327</v>
      </c>
      <c r="C154">
        <v>39193</v>
      </c>
      <c r="D154">
        <v>2168</v>
      </c>
      <c r="E154">
        <v>304</v>
      </c>
      <c r="F154">
        <v>1024</v>
      </c>
      <c r="G154">
        <f t="shared" si="14"/>
        <v>0.6205607476635514</v>
      </c>
    </row>
    <row r="155" spans="1:17" ht="12.75">
      <c r="A155">
        <v>270</v>
      </c>
      <c r="B155">
        <f t="shared" si="13"/>
        <v>2.458516315610971</v>
      </c>
      <c r="C155">
        <v>35345</v>
      </c>
      <c r="D155">
        <v>2099</v>
      </c>
      <c r="E155">
        <v>224</v>
      </c>
      <c r="F155">
        <v>856</v>
      </c>
      <c r="G155">
        <f t="shared" si="14"/>
        <v>0.521487204249155</v>
      </c>
      <c r="P155" s="2"/>
      <c r="Q155" s="2"/>
    </row>
    <row r="156" spans="1:17" ht="12.75">
      <c r="A156">
        <v>285</v>
      </c>
      <c r="B156">
        <f t="shared" si="13"/>
        <v>2.5892957874188403</v>
      </c>
      <c r="C156">
        <v>33921</v>
      </c>
      <c r="D156">
        <v>2125</v>
      </c>
      <c r="E156">
        <v>225</v>
      </c>
      <c r="F156">
        <v>815</v>
      </c>
      <c r="G156">
        <f t="shared" si="14"/>
        <v>0.49594659036719124</v>
      </c>
      <c r="P156" s="2"/>
      <c r="Q156" s="2"/>
    </row>
    <row r="157" spans="1:7" ht="12.75">
      <c r="A157">
        <v>300</v>
      </c>
      <c r="B157">
        <f t="shared" si="13"/>
        <v>2.7200752592267095</v>
      </c>
      <c r="D157">
        <v>2034</v>
      </c>
      <c r="E157">
        <v>175</v>
      </c>
      <c r="F157">
        <v>701</v>
      </c>
      <c r="G157">
        <f t="shared" si="14"/>
        <v>0.43668993020937186</v>
      </c>
    </row>
    <row r="158" spans="1:7" ht="12.75">
      <c r="A158">
        <v>330</v>
      </c>
      <c r="B158">
        <f t="shared" si="13"/>
        <v>2.9816342028424483</v>
      </c>
      <c r="C158">
        <v>26150</v>
      </c>
      <c r="D158">
        <v>2045</v>
      </c>
      <c r="E158">
        <v>148</v>
      </c>
      <c r="F158">
        <v>547</v>
      </c>
      <c r="G158">
        <f t="shared" si="14"/>
        <v>0.3445711452652454</v>
      </c>
    </row>
    <row r="159" spans="1:7" ht="12.75">
      <c r="A159">
        <v>360</v>
      </c>
      <c r="B159">
        <f t="shared" si="13"/>
        <v>3.2431931464581867</v>
      </c>
      <c r="D159">
        <v>2172</v>
      </c>
      <c r="E159">
        <v>113</v>
      </c>
      <c r="F159">
        <v>464</v>
      </c>
      <c r="G159">
        <f t="shared" si="14"/>
        <v>0.2691231343283582</v>
      </c>
    </row>
    <row r="160" spans="1:7" ht="12.75">
      <c r="A160">
        <v>390</v>
      </c>
      <c r="B160">
        <f t="shared" si="13"/>
        <v>3.504752090073925</v>
      </c>
      <c r="D160">
        <v>2122</v>
      </c>
      <c r="E160">
        <v>96</v>
      </c>
      <c r="F160">
        <v>316</v>
      </c>
      <c r="G160">
        <f t="shared" si="14"/>
        <v>0.19675262655205347</v>
      </c>
    </row>
    <row r="164" ht="12.75">
      <c r="A164" t="s">
        <v>19</v>
      </c>
    </row>
    <row r="166" spans="1:16" ht="12.75">
      <c r="A166" t="s">
        <v>0</v>
      </c>
      <c r="B166" t="s">
        <v>1</v>
      </c>
      <c r="C166" t="s">
        <v>2</v>
      </c>
      <c r="D166" t="s">
        <v>3</v>
      </c>
      <c r="E166" t="s">
        <v>4</v>
      </c>
      <c r="F166" t="s">
        <v>5</v>
      </c>
      <c r="G166" t="s">
        <v>6</v>
      </c>
      <c r="O166">
        <v>2.74</v>
      </c>
      <c r="P166">
        <f>0.0119*O166^4-0.0859*O166^3+0.1335*O166^2-0.141*O166+0.9843</f>
        <v>0.5039231057439998</v>
      </c>
    </row>
    <row r="167" spans="1:16" ht="12.75">
      <c r="A167">
        <v>100</v>
      </c>
      <c r="B167">
        <f aca="true" t="shared" si="15" ref="B167:B175">(A167+11.9842)/114.6969</f>
        <v>0.9763489684551195</v>
      </c>
      <c r="C167">
        <v>208180</v>
      </c>
      <c r="D167">
        <v>2117</v>
      </c>
      <c r="E167">
        <v>406</v>
      </c>
      <c r="F167">
        <v>1483</v>
      </c>
      <c r="G167">
        <f aca="true" t="shared" si="16" ref="G167:G175">(F167+E167)/(D167-2*14)</f>
        <v>0.9042604116802297</v>
      </c>
      <c r="O167" s="2">
        <v>2.75</v>
      </c>
      <c r="P167" s="2">
        <f>0.0119*O167^4-0.0859*O167^3+0.1335*O167^2-0.141*O167+0.9843</f>
        <v>0.500269921875</v>
      </c>
    </row>
    <row r="168" spans="1:16" ht="12.75">
      <c r="A168">
        <v>180</v>
      </c>
      <c r="B168">
        <f t="shared" si="15"/>
        <v>1.6738394847637554</v>
      </c>
      <c r="C168">
        <v>72015</v>
      </c>
      <c r="D168">
        <v>2177</v>
      </c>
      <c r="E168">
        <v>368</v>
      </c>
      <c r="F168">
        <v>1391</v>
      </c>
      <c r="G168">
        <f t="shared" si="16"/>
        <v>0.8185202419730107</v>
      </c>
      <c r="O168">
        <v>2.72</v>
      </c>
      <c r="P168">
        <f>0.0119*O168^4-0.0859*O168^3+0.1335*O168^2-0.141*O168+0.9843</f>
        <v>0.5112072752639999</v>
      </c>
    </row>
    <row r="169" spans="1:7" ht="12.75">
      <c r="A169">
        <v>210</v>
      </c>
      <c r="B169">
        <f t="shared" si="15"/>
        <v>1.935398428379494</v>
      </c>
      <c r="C169">
        <v>89323</v>
      </c>
      <c r="D169">
        <v>2023</v>
      </c>
      <c r="E169">
        <v>313</v>
      </c>
      <c r="F169">
        <v>1192</v>
      </c>
      <c r="G169">
        <f t="shared" si="16"/>
        <v>0.7543859649122807</v>
      </c>
    </row>
    <row r="170" spans="1:7" ht="12.75">
      <c r="A170">
        <v>240</v>
      </c>
      <c r="B170">
        <f t="shared" si="15"/>
        <v>2.1969573719952327</v>
      </c>
      <c r="C170">
        <v>63922</v>
      </c>
      <c r="D170">
        <v>1998</v>
      </c>
      <c r="E170">
        <v>269</v>
      </c>
      <c r="F170">
        <v>1056</v>
      </c>
      <c r="G170">
        <f t="shared" si="16"/>
        <v>0.6725888324873096</v>
      </c>
    </row>
    <row r="171" spans="1:7" ht="12.75">
      <c r="A171">
        <v>270</v>
      </c>
      <c r="B171">
        <f t="shared" si="15"/>
        <v>2.458516315610971</v>
      </c>
      <c r="C171">
        <v>69732</v>
      </c>
      <c r="D171">
        <v>2082</v>
      </c>
      <c r="E171">
        <v>270</v>
      </c>
      <c r="F171">
        <v>992</v>
      </c>
      <c r="G171">
        <f t="shared" si="16"/>
        <v>0.6144109055501461</v>
      </c>
    </row>
    <row r="172" spans="1:7" ht="12.75">
      <c r="A172">
        <v>300</v>
      </c>
      <c r="B172">
        <f t="shared" si="15"/>
        <v>2.7200752592267095</v>
      </c>
      <c r="D172">
        <v>2134</v>
      </c>
      <c r="E172">
        <v>221</v>
      </c>
      <c r="F172">
        <v>878</v>
      </c>
      <c r="G172">
        <f t="shared" si="16"/>
        <v>0.5218423551756886</v>
      </c>
    </row>
    <row r="173" spans="1:7" ht="12.75">
      <c r="A173">
        <v>330</v>
      </c>
      <c r="B173">
        <f t="shared" si="15"/>
        <v>2.9816342028424483</v>
      </c>
      <c r="C173">
        <v>74330</v>
      </c>
      <c r="D173">
        <v>2106</v>
      </c>
      <c r="E173">
        <v>170</v>
      </c>
      <c r="F173">
        <v>678</v>
      </c>
      <c r="G173">
        <f t="shared" si="16"/>
        <v>0.4080846968238691</v>
      </c>
    </row>
    <row r="174" spans="1:16" ht="12.75">
      <c r="A174">
        <v>360</v>
      </c>
      <c r="B174">
        <f t="shared" si="15"/>
        <v>3.2431931464581867</v>
      </c>
      <c r="C174">
        <v>33442</v>
      </c>
      <c r="D174">
        <v>2124</v>
      </c>
      <c r="E174">
        <v>131</v>
      </c>
      <c r="F174">
        <v>542</v>
      </c>
      <c r="G174">
        <f t="shared" si="16"/>
        <v>0.321087786259542</v>
      </c>
      <c r="P174" s="2"/>
    </row>
    <row r="175" spans="1:7" ht="12.75">
      <c r="A175">
        <v>390</v>
      </c>
      <c r="B175">
        <f t="shared" si="15"/>
        <v>3.504752090073925</v>
      </c>
      <c r="C175">
        <v>42326</v>
      </c>
      <c r="D175">
        <v>2056</v>
      </c>
      <c r="E175">
        <v>90</v>
      </c>
      <c r="F175">
        <v>384</v>
      </c>
      <c r="G175">
        <f t="shared" si="16"/>
        <v>0.23372781065088757</v>
      </c>
    </row>
    <row r="183" ht="12.75">
      <c r="A183" t="s">
        <v>20</v>
      </c>
    </row>
    <row r="185" spans="1:16" ht="12.75">
      <c r="A185" t="s">
        <v>0</v>
      </c>
      <c r="B185" t="s">
        <v>1</v>
      </c>
      <c r="C185" t="s">
        <v>2</v>
      </c>
      <c r="D185" t="s">
        <v>3</v>
      </c>
      <c r="E185" t="s">
        <v>4</v>
      </c>
      <c r="F185" t="s">
        <v>5</v>
      </c>
      <c r="G185" t="s">
        <v>6</v>
      </c>
      <c r="O185" s="2">
        <v>2.83</v>
      </c>
      <c r="P185" s="2">
        <f>0.0025*O185^4-0.0131*O185^3-0.0369*O185^2-0.0159*O185+0.9787</f>
        <v>0.5016168383249999</v>
      </c>
    </row>
    <row r="186" spans="1:16" ht="12.75">
      <c r="A186">
        <v>100</v>
      </c>
      <c r="B186">
        <f aca="true" t="shared" si="17" ref="B186:B194">(A186+11.9842)/114.6969</f>
        <v>0.9763489684551195</v>
      </c>
      <c r="D186">
        <v>2000</v>
      </c>
      <c r="E186">
        <v>401</v>
      </c>
      <c r="F186">
        <v>1407</v>
      </c>
      <c r="G186">
        <f aca="true" t="shared" si="18" ref="G186:G194">(F186+E186)/(D186-2*14)</f>
        <v>0.9168356997971603</v>
      </c>
      <c r="O186">
        <v>2.84</v>
      </c>
      <c r="P186">
        <f>0.0025*O186^4-0.0131*O186^3-0.0369*O186^2-0.0159*O186+0.9787</f>
        <v>0.498485536</v>
      </c>
    </row>
    <row r="187" spans="1:16" ht="12.75">
      <c r="A187">
        <v>180</v>
      </c>
      <c r="B187">
        <f t="shared" si="17"/>
        <v>1.6738394847637554</v>
      </c>
      <c r="C187">
        <v>79096</v>
      </c>
      <c r="D187">
        <v>2092</v>
      </c>
      <c r="E187">
        <v>333</v>
      </c>
      <c r="F187">
        <v>1348</v>
      </c>
      <c r="G187">
        <f t="shared" si="18"/>
        <v>0.814437984496124</v>
      </c>
      <c r="O187">
        <v>2.82</v>
      </c>
      <c r="P187">
        <f>0.0025*O187^4-0.0131*O187^3-0.0369*O187^2-0.0159*O187+0.9787</f>
        <v>0.5047425436</v>
      </c>
    </row>
    <row r="188" spans="1:7" ht="12.75">
      <c r="A188">
        <v>240</v>
      </c>
      <c r="B188">
        <f t="shared" si="17"/>
        <v>2.1969573719952327</v>
      </c>
      <c r="C188">
        <v>55052</v>
      </c>
      <c r="D188">
        <v>2040</v>
      </c>
      <c r="E188">
        <v>265</v>
      </c>
      <c r="F188">
        <v>1103</v>
      </c>
      <c r="G188">
        <f t="shared" si="18"/>
        <v>0.679920477137177</v>
      </c>
    </row>
    <row r="189" spans="1:7" ht="12.75">
      <c r="A189">
        <v>270</v>
      </c>
      <c r="B189">
        <f t="shared" si="17"/>
        <v>2.458516315610971</v>
      </c>
      <c r="C189">
        <v>62360</v>
      </c>
      <c r="D189">
        <v>2077</v>
      </c>
      <c r="E189">
        <v>225</v>
      </c>
      <c r="F189">
        <v>998</v>
      </c>
      <c r="G189">
        <f t="shared" si="18"/>
        <v>0.5968765251342119</v>
      </c>
    </row>
    <row r="190" spans="1:14" ht="12.75">
      <c r="A190">
        <v>300</v>
      </c>
      <c r="B190">
        <f t="shared" si="17"/>
        <v>2.7200752592267095</v>
      </c>
      <c r="C190">
        <v>47796</v>
      </c>
      <c r="D190">
        <v>2043</v>
      </c>
      <c r="E190">
        <v>223</v>
      </c>
      <c r="F190">
        <v>883</v>
      </c>
      <c r="G190">
        <f t="shared" si="18"/>
        <v>0.5488833746898263</v>
      </c>
      <c r="N190" s="2"/>
    </row>
    <row r="191" spans="1:7" ht="12.75">
      <c r="A191">
        <v>330</v>
      </c>
      <c r="B191">
        <f t="shared" si="17"/>
        <v>2.9816342028424483</v>
      </c>
      <c r="C191">
        <v>56593</v>
      </c>
      <c r="D191">
        <v>2103</v>
      </c>
      <c r="E191">
        <v>199</v>
      </c>
      <c r="F191">
        <v>762</v>
      </c>
      <c r="G191">
        <f t="shared" si="18"/>
        <v>0.46313253012048194</v>
      </c>
    </row>
    <row r="192" spans="1:7" ht="12.75">
      <c r="A192">
        <v>360</v>
      </c>
      <c r="B192">
        <f t="shared" si="17"/>
        <v>3.2431931464581867</v>
      </c>
      <c r="C192">
        <v>41314</v>
      </c>
      <c r="D192">
        <v>2028</v>
      </c>
      <c r="E192">
        <v>161</v>
      </c>
      <c r="F192">
        <v>616</v>
      </c>
      <c r="G192">
        <f t="shared" si="18"/>
        <v>0.3885</v>
      </c>
    </row>
    <row r="193" spans="1:7" ht="12.75">
      <c r="A193">
        <v>390</v>
      </c>
      <c r="B193">
        <f t="shared" si="17"/>
        <v>3.504752090073925</v>
      </c>
      <c r="C193">
        <v>47532</v>
      </c>
      <c r="D193">
        <v>2045</v>
      </c>
      <c r="E193">
        <v>90</v>
      </c>
      <c r="F193">
        <v>424</v>
      </c>
      <c r="G193">
        <f t="shared" si="18"/>
        <v>0.25483391175012393</v>
      </c>
    </row>
    <row r="194" spans="1:7" ht="12.75">
      <c r="A194">
        <v>420</v>
      </c>
      <c r="B194">
        <f t="shared" si="17"/>
        <v>3.766311033689664</v>
      </c>
      <c r="C194">
        <v>35774</v>
      </c>
      <c r="D194">
        <v>2035</v>
      </c>
      <c r="E194">
        <v>73</v>
      </c>
      <c r="F194">
        <v>360</v>
      </c>
      <c r="G194">
        <f t="shared" si="18"/>
        <v>0.21574489287493773</v>
      </c>
    </row>
    <row r="199" ht="12.75">
      <c r="A199" t="s">
        <v>30</v>
      </c>
    </row>
    <row r="201" spans="1:7" ht="12.75">
      <c r="A201" t="s">
        <v>0</v>
      </c>
      <c r="B201" t="s">
        <v>1</v>
      </c>
      <c r="C201" t="s">
        <v>2</v>
      </c>
      <c r="D201" t="s">
        <v>3</v>
      </c>
      <c r="E201" t="s">
        <v>4</v>
      </c>
      <c r="F201" t="s">
        <v>5</v>
      </c>
      <c r="G201" t="s">
        <v>6</v>
      </c>
    </row>
    <row r="202" spans="1:16" ht="12.75">
      <c r="A202">
        <v>100</v>
      </c>
      <c r="B202">
        <f aca="true" t="shared" si="19" ref="B202:B211">(A202+11.9842)/114.6969</f>
        <v>0.9763489684551195</v>
      </c>
      <c r="O202">
        <v>2.82</v>
      </c>
      <c r="P202">
        <f>0.002*O202^4+0.0102*O202^3-0.1885*O202^2+0.3094*O202+0.7777</f>
        <v>0.5064047651199999</v>
      </c>
    </row>
    <row r="203" spans="1:16" ht="12.75">
      <c r="A203">
        <v>180</v>
      </c>
      <c r="B203">
        <f t="shared" si="19"/>
        <v>1.6738394847637554</v>
      </c>
      <c r="D203">
        <v>2017</v>
      </c>
      <c r="E203">
        <v>334</v>
      </c>
      <c r="F203">
        <v>1320</v>
      </c>
      <c r="G203">
        <f aca="true" t="shared" si="20" ref="G203:G211">(F203+E203)/(D203-2*14)</f>
        <v>0.8315736551030669</v>
      </c>
      <c r="O203">
        <v>2.83</v>
      </c>
      <c r="P203">
        <f>0.002*O203^4+0.0102*O203^3-0.1885*O203^2+0.3094*O203+0.7777</f>
        <v>0.5030942158199999</v>
      </c>
    </row>
    <row r="204" spans="1:16" ht="12.75">
      <c r="A204">
        <v>240</v>
      </c>
      <c r="B204">
        <f t="shared" si="19"/>
        <v>2.1969573719952327</v>
      </c>
      <c r="C204">
        <v>96819</v>
      </c>
      <c r="D204">
        <v>2070</v>
      </c>
      <c r="E204">
        <v>264</v>
      </c>
      <c r="F204">
        <v>1171</v>
      </c>
      <c r="G204">
        <f t="shared" si="20"/>
        <v>0.7027424094025465</v>
      </c>
      <c r="O204" s="2">
        <v>2.84</v>
      </c>
      <c r="P204" s="2">
        <f>0.002*O204^4+0.0102*O204^3-0.1885*O204^2+0.3094*O204+0.7777</f>
        <v>0.49978250752</v>
      </c>
    </row>
    <row r="205" spans="1:7" ht="12.75">
      <c r="A205">
        <v>270</v>
      </c>
      <c r="B205">
        <f t="shared" si="19"/>
        <v>2.458516315610971</v>
      </c>
      <c r="C205">
        <v>62185</v>
      </c>
      <c r="D205">
        <v>2049</v>
      </c>
      <c r="E205">
        <v>257</v>
      </c>
      <c r="F205">
        <v>1012</v>
      </c>
      <c r="G205">
        <f t="shared" si="20"/>
        <v>0.627906976744186</v>
      </c>
    </row>
    <row r="206" spans="1:7" ht="12.75">
      <c r="A206">
        <v>300</v>
      </c>
      <c r="B206">
        <f t="shared" si="19"/>
        <v>2.7200752592267095</v>
      </c>
      <c r="C206">
        <v>64627</v>
      </c>
      <c r="D206">
        <v>2061</v>
      </c>
      <c r="E206">
        <v>204</v>
      </c>
      <c r="F206">
        <v>885</v>
      </c>
      <c r="G206">
        <f t="shared" si="20"/>
        <v>0.5356615838662075</v>
      </c>
    </row>
    <row r="207" spans="1:7" ht="12.75">
      <c r="A207">
        <v>330</v>
      </c>
      <c r="B207">
        <f t="shared" si="19"/>
        <v>2.9816342028424483</v>
      </c>
      <c r="C207">
        <v>97161</v>
      </c>
      <c r="D207">
        <v>2068</v>
      </c>
      <c r="E207">
        <v>187</v>
      </c>
      <c r="F207">
        <v>763</v>
      </c>
      <c r="G207">
        <f t="shared" si="20"/>
        <v>0.46568627450980393</v>
      </c>
    </row>
    <row r="208" spans="1:7" ht="12.75">
      <c r="A208">
        <v>360</v>
      </c>
      <c r="B208">
        <f t="shared" si="19"/>
        <v>3.2431931464581867</v>
      </c>
      <c r="D208">
        <v>2086</v>
      </c>
      <c r="E208">
        <v>129</v>
      </c>
      <c r="F208">
        <v>638</v>
      </c>
      <c r="G208">
        <f t="shared" si="20"/>
        <v>0.3726919339164237</v>
      </c>
    </row>
    <row r="209" spans="1:7" ht="12.75">
      <c r="A209">
        <v>390</v>
      </c>
      <c r="B209">
        <f t="shared" si="19"/>
        <v>3.504752090073925</v>
      </c>
      <c r="D209">
        <v>2015</v>
      </c>
      <c r="E209">
        <v>102</v>
      </c>
      <c r="F209">
        <v>463</v>
      </c>
      <c r="G209">
        <f t="shared" si="20"/>
        <v>0.2843482637141419</v>
      </c>
    </row>
    <row r="210" spans="1:7" ht="12.75">
      <c r="A210">
        <v>420</v>
      </c>
      <c r="B210">
        <f t="shared" si="19"/>
        <v>3.766311033689664</v>
      </c>
      <c r="D210">
        <v>2001</v>
      </c>
      <c r="E210">
        <v>93</v>
      </c>
      <c r="F210">
        <v>371</v>
      </c>
      <c r="G210">
        <f t="shared" si="20"/>
        <v>0.2351748606183477</v>
      </c>
    </row>
    <row r="211" spans="1:7" ht="12.75">
      <c r="A211">
        <v>450</v>
      </c>
      <c r="B211">
        <f t="shared" si="19"/>
        <v>4.027869977305402</v>
      </c>
      <c r="D211">
        <v>2026</v>
      </c>
      <c r="E211">
        <v>60</v>
      </c>
      <c r="F211">
        <v>277</v>
      </c>
      <c r="G211">
        <f t="shared" si="20"/>
        <v>0.16866866866866867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4"/>
  <sheetViews>
    <sheetView workbookViewId="0" topLeftCell="A66">
      <selection activeCell="G86" sqref="G86"/>
    </sheetView>
  </sheetViews>
  <sheetFormatPr defaultColWidth="9.140625" defaultRowHeight="12.75"/>
  <cols>
    <col min="1" max="1" width="10.140625" style="0" customWidth="1"/>
  </cols>
  <sheetData>
    <row r="1" spans="1:11" ht="12.75">
      <c r="A1" s="2" t="s">
        <v>12</v>
      </c>
      <c r="C1">
        <v>115.60168000000002</v>
      </c>
      <c r="D1">
        <v>-13.582239999999999</v>
      </c>
      <c r="I1" t="s">
        <v>31</v>
      </c>
      <c r="J1" t="s">
        <v>45</v>
      </c>
      <c r="K1" t="s">
        <v>46</v>
      </c>
    </row>
    <row r="2" spans="3:11" ht="12.75">
      <c r="C2" t="s">
        <v>22</v>
      </c>
      <c r="D2" t="s">
        <v>23</v>
      </c>
      <c r="I2">
        <v>40</v>
      </c>
      <c r="J2">
        <v>0.295</v>
      </c>
      <c r="K2">
        <v>0.78</v>
      </c>
    </row>
    <row r="3" spans="9:11" ht="12.75">
      <c r="I3">
        <v>60</v>
      </c>
      <c r="J3">
        <f>G26</f>
        <v>0.5089108910891089</v>
      </c>
      <c r="K3">
        <v>0.98</v>
      </c>
    </row>
    <row r="4" spans="9:11" ht="12.75">
      <c r="I4">
        <v>80</v>
      </c>
      <c r="J4">
        <f>G40</f>
        <v>0.669260700389105</v>
      </c>
      <c r="K4">
        <v>1.25</v>
      </c>
    </row>
    <row r="5" spans="9:11" ht="12.75">
      <c r="I5">
        <v>100</v>
      </c>
      <c r="J5">
        <f>G55</f>
        <v>0.7214870825456837</v>
      </c>
      <c r="K5">
        <v>1.42</v>
      </c>
    </row>
    <row r="6" spans="9:11" ht="12.75">
      <c r="I6">
        <v>150</v>
      </c>
      <c r="J6">
        <f>G69</f>
        <v>0.8553745928338762</v>
      </c>
      <c r="K6">
        <v>1.88</v>
      </c>
    </row>
    <row r="7" spans="9:11" ht="12.75">
      <c r="I7">
        <v>200</v>
      </c>
      <c r="J7">
        <f>G86</f>
        <v>0.9287515762925599</v>
      </c>
      <c r="K7">
        <v>2.19</v>
      </c>
    </row>
    <row r="8" spans="9:11" ht="12.75">
      <c r="I8">
        <v>250</v>
      </c>
      <c r="J8">
        <f>G104</f>
        <v>0.9662162162162162</v>
      </c>
      <c r="K8">
        <v>2.53</v>
      </c>
    </row>
    <row r="9" spans="9:11" ht="12.75">
      <c r="I9">
        <v>300</v>
      </c>
      <c r="J9">
        <f>G119</f>
        <v>0.9121265377855887</v>
      </c>
      <c r="K9">
        <v>2.45</v>
      </c>
    </row>
    <row r="10" spans="1:11" ht="12.75">
      <c r="A10" t="s">
        <v>7</v>
      </c>
      <c r="B10" t="s">
        <v>34</v>
      </c>
      <c r="I10">
        <v>350</v>
      </c>
      <c r="J10">
        <f>G136</f>
        <v>0.8926116838487973</v>
      </c>
      <c r="K10">
        <v>2.59</v>
      </c>
    </row>
    <row r="12" spans="1:15" ht="12.7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N12">
        <v>0.79</v>
      </c>
      <c r="O12">
        <f>-1.0513*N12^3+4.2557*N12^2-6.1132*N12+3.1839</f>
        <v>0.4921224692999999</v>
      </c>
    </row>
    <row r="13" spans="1:15" ht="12.75">
      <c r="A13">
        <v>80</v>
      </c>
      <c r="B13">
        <f>(A13+13.5822)/115.6017</f>
        <v>0.8095226973305756</v>
      </c>
      <c r="C13">
        <v>14534</v>
      </c>
      <c r="D13">
        <v>1613</v>
      </c>
      <c r="E13">
        <v>233</v>
      </c>
      <c r="F13">
        <v>510</v>
      </c>
      <c r="G13">
        <f>(E13+F13)/(D13-14*2)</f>
        <v>0.46876971608832807</v>
      </c>
      <c r="N13">
        <v>0.76</v>
      </c>
      <c r="O13">
        <f>-1.0513*N13^3+4.2557*N13^2-6.1132*N13+3.1839</f>
        <v>0.5344648512000001</v>
      </c>
    </row>
    <row r="14" spans="1:15" ht="12.75">
      <c r="A14">
        <v>90</v>
      </c>
      <c r="B14">
        <f>(A14+13.5822)/115.6017</f>
        <v>0.8960266155255503</v>
      </c>
      <c r="D14">
        <v>1549</v>
      </c>
      <c r="E14">
        <v>152</v>
      </c>
      <c r="F14">
        <v>394</v>
      </c>
      <c r="G14">
        <f>(E14+F14)/(D14-14*2)</f>
        <v>0.358974358974359</v>
      </c>
      <c r="N14">
        <v>0.77</v>
      </c>
      <c r="O14">
        <f>-1.0513*N14^3+4.2557*N14^2-6.1132*N14+3.1839</f>
        <v>0.5199873871000005</v>
      </c>
    </row>
    <row r="15" spans="1:15" ht="12.75">
      <c r="A15" s="1">
        <v>100</v>
      </c>
      <c r="B15">
        <f>(A15+13.5822)/115.6017</f>
        <v>0.9825305337205249</v>
      </c>
      <c r="C15" s="1">
        <v>17804</v>
      </c>
      <c r="D15" s="1">
        <v>1601</v>
      </c>
      <c r="E15" s="1">
        <v>138</v>
      </c>
      <c r="F15" s="1">
        <v>327</v>
      </c>
      <c r="G15">
        <f>(E15+F15)/(D15-14*2)</f>
        <v>0.2956134774316593</v>
      </c>
      <c r="N15" s="2">
        <v>0.78</v>
      </c>
      <c r="O15" s="2">
        <f>-1.0513*N15^3+4.2557*N15^2-6.1132*N15+3.1839</f>
        <v>0.5058753623999999</v>
      </c>
    </row>
    <row r="16" spans="1:7" ht="12.75">
      <c r="A16">
        <v>120</v>
      </c>
      <c r="B16">
        <f>(A16+13.5822)/115.6017</f>
        <v>1.1555383701104742</v>
      </c>
      <c r="C16" s="1">
        <v>6684</v>
      </c>
      <c r="D16" s="1">
        <v>1593</v>
      </c>
      <c r="E16" s="1">
        <v>82</v>
      </c>
      <c r="F16" s="1">
        <v>197</v>
      </c>
      <c r="G16">
        <f>(E16+F16)/(D16-14*2)</f>
        <v>0.17827476038338658</v>
      </c>
    </row>
    <row r="17" spans="1:7" ht="12.75">
      <c r="A17">
        <v>150</v>
      </c>
      <c r="B17">
        <f>(A17+13.5822)/115.6017</f>
        <v>1.4150501246953981</v>
      </c>
      <c r="C17" s="1">
        <v>4397</v>
      </c>
      <c r="D17" s="1">
        <v>1589</v>
      </c>
      <c r="E17" s="1">
        <v>32</v>
      </c>
      <c r="F17" s="1">
        <v>87</v>
      </c>
      <c r="G17">
        <f>(E17+F17)/(D17-14*2)</f>
        <v>0.07623318385650224</v>
      </c>
    </row>
    <row r="21" spans="1:2" ht="12.75">
      <c r="A21" t="s">
        <v>9</v>
      </c>
      <c r="B21" t="s">
        <v>35</v>
      </c>
    </row>
    <row r="23" spans="1: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</row>
    <row r="24" spans="1:7" ht="12.75">
      <c r="A24">
        <v>80</v>
      </c>
      <c r="B24">
        <f aca="true" t="shared" si="0" ref="B24:B29">(A24+13.5822)/115.6017</f>
        <v>0.8095226973305756</v>
      </c>
      <c r="C24">
        <v>19803</v>
      </c>
      <c r="D24">
        <v>1648</v>
      </c>
      <c r="E24">
        <v>356</v>
      </c>
      <c r="F24">
        <v>757</v>
      </c>
      <c r="G24">
        <f aca="true" t="shared" si="1" ref="G24:G29">(E24+F24)/(D24-14*2)</f>
        <v>0.687037037037037</v>
      </c>
    </row>
    <row r="25" spans="1:15" ht="12.75">
      <c r="A25">
        <v>90</v>
      </c>
      <c r="B25">
        <f t="shared" si="0"/>
        <v>0.8960266155255503</v>
      </c>
      <c r="C25">
        <v>19313</v>
      </c>
      <c r="D25">
        <v>1614</v>
      </c>
      <c r="E25">
        <v>267</v>
      </c>
      <c r="F25">
        <v>631</v>
      </c>
      <c r="G25">
        <f t="shared" si="1"/>
        <v>0.5662042875157629</v>
      </c>
      <c r="N25" s="2">
        <v>0.98</v>
      </c>
      <c r="O25" s="2">
        <f>-0.5124*N25^3+2.3295*N25^2-3.9906*N25+2.6564</f>
        <v>0.5005970191999998</v>
      </c>
    </row>
    <row r="26" spans="1:15" ht="12.75">
      <c r="A26" s="1">
        <v>100</v>
      </c>
      <c r="B26">
        <f t="shared" si="0"/>
        <v>0.9825305337205249</v>
      </c>
      <c r="C26">
        <v>14755</v>
      </c>
      <c r="D26">
        <v>1543</v>
      </c>
      <c r="E26">
        <v>240</v>
      </c>
      <c r="F26">
        <v>531</v>
      </c>
      <c r="G26">
        <f t="shared" si="1"/>
        <v>0.5089108910891089</v>
      </c>
      <c r="N26">
        <v>0.99</v>
      </c>
      <c r="O26">
        <f>-0.5124*N26^3+2.3295*N26^2-3.9906*N26+2.6564</f>
        <v>0.4916677424000002</v>
      </c>
    </row>
    <row r="27" spans="1:15" ht="12.75">
      <c r="A27">
        <v>120</v>
      </c>
      <c r="B27">
        <f t="shared" si="0"/>
        <v>1.1555383701104742</v>
      </c>
      <c r="C27">
        <v>11529</v>
      </c>
      <c r="D27">
        <v>1637</v>
      </c>
      <c r="E27">
        <v>181</v>
      </c>
      <c r="F27">
        <v>407</v>
      </c>
      <c r="G27">
        <f t="shared" si="1"/>
        <v>0.36544437538844005</v>
      </c>
      <c r="N27">
        <v>1.01</v>
      </c>
      <c r="O27">
        <f>-0.5124*N27^3+2.3295*N27^2-3.9906*N27+2.6564</f>
        <v>0.4742907176000002</v>
      </c>
    </row>
    <row r="28" spans="1:15" ht="12.75">
      <c r="A28">
        <v>150</v>
      </c>
      <c r="B28">
        <f t="shared" si="0"/>
        <v>1.4150501246953981</v>
      </c>
      <c r="C28">
        <v>7828</v>
      </c>
      <c r="D28">
        <v>1637</v>
      </c>
      <c r="E28">
        <v>111</v>
      </c>
      <c r="F28">
        <v>244</v>
      </c>
      <c r="G28">
        <f t="shared" si="1"/>
        <v>0.22063393412057178</v>
      </c>
      <c r="N28">
        <v>1.02</v>
      </c>
      <c r="O28">
        <f>-0.5124*N28^3+2.3295*N28^2-3.9906*N28+2.6564</f>
        <v>0.4658368207999999</v>
      </c>
    </row>
    <row r="29" spans="1:15" ht="12.75">
      <c r="A29">
        <v>180</v>
      </c>
      <c r="B29">
        <f t="shared" si="0"/>
        <v>1.674561879280322</v>
      </c>
      <c r="C29">
        <v>5604</v>
      </c>
      <c r="D29">
        <v>1529</v>
      </c>
      <c r="E29">
        <v>45</v>
      </c>
      <c r="F29">
        <v>106</v>
      </c>
      <c r="G29">
        <f t="shared" si="1"/>
        <v>0.10059960026648901</v>
      </c>
      <c r="N29">
        <v>1.03</v>
      </c>
      <c r="O29">
        <f>-0.5124*N29^3+2.3295*N29^2-3.9906*N29+2.6564</f>
        <v>0.4575352351999995</v>
      </c>
    </row>
    <row r="35" spans="1:2" ht="12.75">
      <c r="A35" t="s">
        <v>11</v>
      </c>
      <c r="B35" t="s">
        <v>36</v>
      </c>
    </row>
    <row r="37" spans="1:7" ht="12.7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</row>
    <row r="38" spans="1:7" ht="12.75">
      <c r="A38">
        <v>80</v>
      </c>
      <c r="B38">
        <f aca="true" t="shared" si="2" ref="B38:B45">(A38+13.5822)/115.6017</f>
        <v>0.8095226973305756</v>
      </c>
      <c r="C38">
        <v>24318</v>
      </c>
      <c r="D38">
        <v>1561</v>
      </c>
      <c r="E38">
        <v>382</v>
      </c>
      <c r="F38">
        <v>796</v>
      </c>
      <c r="G38">
        <f aca="true" t="shared" si="3" ref="G38:G45">(E38+F38)/(D38-14*2)</f>
        <v>0.7684279191128506</v>
      </c>
    </row>
    <row r="39" spans="1:15" ht="12.75">
      <c r="A39">
        <v>90</v>
      </c>
      <c r="B39">
        <f t="shared" si="2"/>
        <v>0.8960266155255503</v>
      </c>
      <c r="C39">
        <v>28310</v>
      </c>
      <c r="D39">
        <v>1489</v>
      </c>
      <c r="E39">
        <v>355</v>
      </c>
      <c r="F39">
        <v>707</v>
      </c>
      <c r="G39">
        <f t="shared" si="3"/>
        <v>0.7268993839835729</v>
      </c>
      <c r="N39">
        <v>1.24</v>
      </c>
      <c r="O39">
        <f>0.7536*N39^3-2.9433*N39^2+3.036*N39-0.1689</f>
        <v>0.5069537663999999</v>
      </c>
    </row>
    <row r="40" spans="1:15" ht="12.75">
      <c r="A40" s="1">
        <v>100</v>
      </c>
      <c r="B40">
        <f t="shared" si="2"/>
        <v>0.9825305337205249</v>
      </c>
      <c r="C40">
        <v>18966</v>
      </c>
      <c r="D40">
        <v>1570</v>
      </c>
      <c r="E40">
        <v>318</v>
      </c>
      <c r="F40">
        <v>714</v>
      </c>
      <c r="G40">
        <f t="shared" si="3"/>
        <v>0.669260700389105</v>
      </c>
      <c r="N40" s="2">
        <v>1.25</v>
      </c>
      <c r="O40" s="2">
        <f>0.7536*N40^3-2.9433*N40^2+3.036*N40-0.1689</f>
        <v>0.49906875</v>
      </c>
    </row>
    <row r="41" spans="1:15" ht="12.75">
      <c r="A41">
        <v>120</v>
      </c>
      <c r="B41">
        <f t="shared" si="2"/>
        <v>1.1555383701104742</v>
      </c>
      <c r="C41">
        <v>15860</v>
      </c>
      <c r="D41">
        <v>1611</v>
      </c>
      <c r="E41">
        <v>275</v>
      </c>
      <c r="F41">
        <v>637</v>
      </c>
      <c r="G41">
        <f t="shared" si="3"/>
        <v>0.5761212886923562</v>
      </c>
      <c r="N41">
        <v>1.26</v>
      </c>
      <c r="O41">
        <f>0.7536*N41^3-2.9433*N41^2+3.036*N41-0.1689</f>
        <v>0.4911602736000001</v>
      </c>
    </row>
    <row r="42" spans="1:15" ht="12.75">
      <c r="A42">
        <v>130</v>
      </c>
      <c r="B42">
        <f t="shared" si="2"/>
        <v>1.242042288305449</v>
      </c>
      <c r="C42">
        <v>14840</v>
      </c>
      <c r="D42">
        <v>1686</v>
      </c>
      <c r="E42">
        <v>279</v>
      </c>
      <c r="F42">
        <v>595</v>
      </c>
      <c r="G42">
        <f t="shared" si="3"/>
        <v>0.5271411338962606</v>
      </c>
      <c r="N42">
        <v>1.27</v>
      </c>
      <c r="O42">
        <f>0.7536*N42^3-2.9433*N42^2+3.036*N42-0.1689</f>
        <v>0.4832328588000004</v>
      </c>
    </row>
    <row r="43" spans="1:15" ht="12.75">
      <c r="A43">
        <v>150</v>
      </c>
      <c r="B43">
        <f t="shared" si="2"/>
        <v>1.4150501246953981</v>
      </c>
      <c r="C43">
        <v>11703</v>
      </c>
      <c r="D43">
        <v>1573</v>
      </c>
      <c r="E43">
        <v>167</v>
      </c>
      <c r="F43">
        <v>382</v>
      </c>
      <c r="G43">
        <f t="shared" si="3"/>
        <v>0.3553398058252427</v>
      </c>
      <c r="N43">
        <v>1.28</v>
      </c>
      <c r="O43">
        <f>0.7536*N43^3-2.9433*N43^2+3.036*N43-0.1689</f>
        <v>0.4752910272000011</v>
      </c>
    </row>
    <row r="44" spans="1:7" ht="12.75">
      <c r="A44">
        <v>180</v>
      </c>
      <c r="B44">
        <f t="shared" si="2"/>
        <v>1.674561879280322</v>
      </c>
      <c r="C44">
        <v>8982</v>
      </c>
      <c r="D44">
        <v>1587</v>
      </c>
      <c r="E44">
        <v>99</v>
      </c>
      <c r="F44">
        <v>212</v>
      </c>
      <c r="G44">
        <f t="shared" si="3"/>
        <v>0.1994868505452213</v>
      </c>
    </row>
    <row r="45" spans="1:7" ht="12.75">
      <c r="A45">
        <v>210</v>
      </c>
      <c r="B45">
        <f t="shared" si="2"/>
        <v>1.934073633865246</v>
      </c>
      <c r="C45">
        <v>6603</v>
      </c>
      <c r="D45">
        <v>1604</v>
      </c>
      <c r="E45">
        <v>60</v>
      </c>
      <c r="F45">
        <v>170</v>
      </c>
      <c r="G45">
        <f t="shared" si="3"/>
        <v>0.14593908629441624</v>
      </c>
    </row>
    <row r="51" spans="1:2" ht="12.75">
      <c r="A51" t="s">
        <v>13</v>
      </c>
      <c r="B51" t="s">
        <v>37</v>
      </c>
    </row>
    <row r="52" spans="14:15" ht="12.75">
      <c r="N52" s="2">
        <v>1.42</v>
      </c>
      <c r="O52" s="2">
        <f>0.1566*N52^3-0.6534*N52^2+0.3255*N52+0.9078</f>
        <v>0.5008851408</v>
      </c>
    </row>
    <row r="53" spans="1:15" ht="12.7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N53">
        <v>1.43</v>
      </c>
      <c r="O53">
        <f>0.1566*N53^3-0.6534*N53^2+0.3255*N53+0.9078</f>
        <v>0.4950581562000004</v>
      </c>
    </row>
    <row r="54" spans="1:15" ht="12.75">
      <c r="A54">
        <v>80</v>
      </c>
      <c r="B54">
        <f aca="true" t="shared" si="4" ref="B54:B62">(A54+13.5822)/115.6017</f>
        <v>0.8095226973305756</v>
      </c>
      <c r="C54">
        <v>30017</v>
      </c>
      <c r="D54">
        <v>1549</v>
      </c>
      <c r="E54">
        <v>420</v>
      </c>
      <c r="F54">
        <v>840</v>
      </c>
      <c r="G54">
        <f aca="true" t="shared" si="5" ref="G54:G62">(E54+F54)/(D54-14*2)</f>
        <v>0.8284023668639053</v>
      </c>
      <c r="N54">
        <v>1.44</v>
      </c>
      <c r="O54">
        <f>0.1566*N54^3-0.6534*N54^2+0.3255*N54+0.9078</f>
        <v>0.48923485440000014</v>
      </c>
    </row>
    <row r="55" spans="1:15" ht="12.75">
      <c r="A55">
        <v>100</v>
      </c>
      <c r="B55">
        <f t="shared" si="4"/>
        <v>0.9825305337205249</v>
      </c>
      <c r="C55">
        <v>23176</v>
      </c>
      <c r="D55">
        <v>1615</v>
      </c>
      <c r="E55">
        <v>364</v>
      </c>
      <c r="F55">
        <v>781</v>
      </c>
      <c r="G55">
        <f t="shared" si="5"/>
        <v>0.7214870825456837</v>
      </c>
      <c r="N55">
        <v>1.45</v>
      </c>
      <c r="O55">
        <f>0.1566*N55^3-0.6534*N55^2+0.3255*N55+0.9078</f>
        <v>0.48341617499999995</v>
      </c>
    </row>
    <row r="56" spans="1:15" ht="12.75">
      <c r="A56">
        <v>120</v>
      </c>
      <c r="B56">
        <f t="shared" si="4"/>
        <v>1.1555383701104742</v>
      </c>
      <c r="C56">
        <v>19919</v>
      </c>
      <c r="D56">
        <v>1578</v>
      </c>
      <c r="E56">
        <v>336</v>
      </c>
      <c r="F56">
        <v>732</v>
      </c>
      <c r="G56">
        <f t="shared" si="5"/>
        <v>0.6890322580645162</v>
      </c>
      <c r="N56">
        <v>1.46</v>
      </c>
      <c r="O56">
        <f>0.1566*N56^3-0.6534*N56^2+0.3255*N56+0.9078</f>
        <v>0.47760305760000016</v>
      </c>
    </row>
    <row r="57" spans="1:7" ht="12.75">
      <c r="A57">
        <v>150</v>
      </c>
      <c r="B57">
        <f t="shared" si="4"/>
        <v>1.4150501246953981</v>
      </c>
      <c r="C57">
        <v>14997</v>
      </c>
      <c r="D57">
        <v>1584</v>
      </c>
      <c r="E57">
        <v>256</v>
      </c>
      <c r="F57">
        <v>541</v>
      </c>
      <c r="G57">
        <f t="shared" si="5"/>
        <v>0.5122107969151671</v>
      </c>
    </row>
    <row r="58" spans="1:7" ht="12.75">
      <c r="A58">
        <v>165</v>
      </c>
      <c r="B58">
        <f t="shared" si="4"/>
        <v>1.5448060019878602</v>
      </c>
      <c r="C58">
        <v>13084</v>
      </c>
      <c r="D58">
        <v>1649</v>
      </c>
      <c r="E58">
        <v>203</v>
      </c>
      <c r="F58">
        <v>461</v>
      </c>
      <c r="G58">
        <f t="shared" si="5"/>
        <v>0.4096236890808143</v>
      </c>
    </row>
    <row r="59" spans="1:7" ht="12.75">
      <c r="A59">
        <v>180</v>
      </c>
      <c r="B59">
        <f t="shared" si="4"/>
        <v>1.674561879280322</v>
      </c>
      <c r="C59">
        <v>11661</v>
      </c>
      <c r="D59">
        <v>1581</v>
      </c>
      <c r="E59">
        <v>159</v>
      </c>
      <c r="F59">
        <v>365</v>
      </c>
      <c r="G59">
        <f t="shared" si="5"/>
        <v>0.3374114616870573</v>
      </c>
    </row>
    <row r="60" spans="1:7" ht="12.75">
      <c r="A60">
        <v>210</v>
      </c>
      <c r="B60">
        <f t="shared" si="4"/>
        <v>1.934073633865246</v>
      </c>
      <c r="C60">
        <v>8941</v>
      </c>
      <c r="D60">
        <v>1491</v>
      </c>
      <c r="E60">
        <v>114</v>
      </c>
      <c r="F60">
        <v>228</v>
      </c>
      <c r="G60">
        <f t="shared" si="5"/>
        <v>0.23376623376623376</v>
      </c>
    </row>
    <row r="61" spans="1:7" ht="12.75">
      <c r="A61">
        <v>240</v>
      </c>
      <c r="B61">
        <f t="shared" si="4"/>
        <v>2.19358538845017</v>
      </c>
      <c r="C61">
        <v>6650</v>
      </c>
      <c r="D61">
        <v>1607</v>
      </c>
      <c r="E61">
        <v>77</v>
      </c>
      <c r="F61">
        <v>152</v>
      </c>
      <c r="G61">
        <f t="shared" si="5"/>
        <v>0.14502849905003168</v>
      </c>
    </row>
    <row r="62" spans="1:7" ht="12.75">
      <c r="A62">
        <v>270</v>
      </c>
      <c r="B62">
        <f t="shared" si="4"/>
        <v>2.453097143035094</v>
      </c>
      <c r="C62">
        <v>5425</v>
      </c>
      <c r="D62">
        <v>1667</v>
      </c>
      <c r="E62">
        <v>38</v>
      </c>
      <c r="F62">
        <v>90</v>
      </c>
      <c r="G62">
        <f t="shared" si="5"/>
        <v>0.07809640024405125</v>
      </c>
    </row>
    <row r="65" spans="1:4" ht="12.75">
      <c r="A65" t="s">
        <v>17</v>
      </c>
      <c r="B65" t="s">
        <v>38</v>
      </c>
      <c r="C65" s="3"/>
      <c r="D65" s="3"/>
    </row>
    <row r="67" spans="1:7" ht="12.75">
      <c r="A67" t="s">
        <v>0</v>
      </c>
      <c r="B67" t="s">
        <v>1</v>
      </c>
      <c r="C67" t="s">
        <v>2</v>
      </c>
      <c r="D67" t="s">
        <v>3</v>
      </c>
      <c r="E67" t="s">
        <v>4</v>
      </c>
      <c r="F67" t="s">
        <v>5</v>
      </c>
      <c r="G67" t="s">
        <v>6</v>
      </c>
    </row>
    <row r="68" spans="1:15" ht="12.75">
      <c r="A68" s="1">
        <v>80</v>
      </c>
      <c r="B68">
        <f aca="true" t="shared" si="6" ref="B68:B76">(A68+13.5822)/115.6017</f>
        <v>0.8095226973305756</v>
      </c>
      <c r="C68" s="1">
        <v>37793</v>
      </c>
      <c r="D68" s="1">
        <v>1562</v>
      </c>
      <c r="E68" s="1">
        <v>471</v>
      </c>
      <c r="F68" s="1">
        <v>937</v>
      </c>
      <c r="G68">
        <f aca="true" t="shared" si="7" ref="G68:G76">(E68+F68)/(D68-14*2)</f>
        <v>0.9178617992177314</v>
      </c>
      <c r="N68">
        <v>1.87</v>
      </c>
      <c r="O68">
        <f>-0.1067*N68^5+1.0616*N68^4-3.9234*N68^3+6.6478*N68^2-5.52*N68+2.6936</f>
        <v>0.5036538636023149</v>
      </c>
    </row>
    <row r="69" spans="1:15" ht="12.75">
      <c r="A69">
        <v>100</v>
      </c>
      <c r="B69">
        <f t="shared" si="6"/>
        <v>0.9825305337205249</v>
      </c>
      <c r="C69">
        <v>31372</v>
      </c>
      <c r="D69">
        <v>1563</v>
      </c>
      <c r="E69">
        <v>435</v>
      </c>
      <c r="F69">
        <v>878</v>
      </c>
      <c r="G69">
        <f t="shared" si="7"/>
        <v>0.8553745928338762</v>
      </c>
      <c r="N69" s="2">
        <v>1.88</v>
      </c>
      <c r="O69" s="2">
        <f>-0.1067*N69^5+1.0616*N69^4-3.9234*N69^3+6.6478*N69^2-5.52*N69+2.6936</f>
        <v>0.49792583609344376</v>
      </c>
    </row>
    <row r="70" spans="1:15" ht="12.75">
      <c r="A70">
        <v>120</v>
      </c>
      <c r="B70">
        <f t="shared" si="6"/>
        <v>1.1555383701104742</v>
      </c>
      <c r="C70">
        <v>27322</v>
      </c>
      <c r="D70">
        <v>1493</v>
      </c>
      <c r="E70">
        <v>391</v>
      </c>
      <c r="F70">
        <v>819</v>
      </c>
      <c r="G70">
        <f t="shared" si="7"/>
        <v>0.825938566552901</v>
      </c>
      <c r="N70">
        <v>1.89</v>
      </c>
      <c r="O70">
        <f>-0.1067*N70^5+1.0616*N70^4-3.9234*N70^3+6.6478*N70^2-5.52*N70+2.6936</f>
        <v>0.4921863444001726</v>
      </c>
    </row>
    <row r="71" spans="1:15" ht="12.75">
      <c r="A71">
        <v>150</v>
      </c>
      <c r="B71">
        <f t="shared" si="6"/>
        <v>1.4150501246953981</v>
      </c>
      <c r="C71">
        <v>22160</v>
      </c>
      <c r="D71">
        <v>1611</v>
      </c>
      <c r="E71">
        <v>356</v>
      </c>
      <c r="F71">
        <v>758</v>
      </c>
      <c r="G71">
        <f t="shared" si="7"/>
        <v>0.7037271004421983</v>
      </c>
      <c r="N71">
        <v>1.93</v>
      </c>
      <c r="O71">
        <f>-0.1067*N71^5+1.0616*N71^4-3.9234*N71^3+6.6478*N71^2-5.52*N71+2.6936</f>
        <v>0.46914868947669497</v>
      </c>
    </row>
    <row r="72" spans="1:15" ht="12.75">
      <c r="A72">
        <v>180</v>
      </c>
      <c r="B72">
        <f t="shared" si="6"/>
        <v>1.674561879280322</v>
      </c>
      <c r="C72">
        <v>18382</v>
      </c>
      <c r="D72">
        <v>1534</v>
      </c>
      <c r="E72">
        <v>288</v>
      </c>
      <c r="F72">
        <v>645</v>
      </c>
      <c r="G72">
        <f t="shared" si="7"/>
        <v>0.6195219123505976</v>
      </c>
      <c r="N72">
        <v>1.94</v>
      </c>
      <c r="O72">
        <f>-0.1067*N72^5+1.0616*N72^4-3.9234*N72^3+6.6478*N72^2-5.52*N72+2.6936</f>
        <v>0.46337819058592267</v>
      </c>
    </row>
    <row r="73" spans="1:7" ht="12.75">
      <c r="A73">
        <v>210</v>
      </c>
      <c r="B73">
        <f t="shared" si="6"/>
        <v>1.934073633865246</v>
      </c>
      <c r="C73">
        <v>14923</v>
      </c>
      <c r="D73">
        <v>1515</v>
      </c>
      <c r="E73">
        <v>247</v>
      </c>
      <c r="F73">
        <v>483</v>
      </c>
      <c r="G73">
        <f t="shared" si="7"/>
        <v>0.4909213180901143</v>
      </c>
    </row>
    <row r="74" spans="1:7" ht="12.75">
      <c r="A74">
        <v>240</v>
      </c>
      <c r="B74">
        <f t="shared" si="6"/>
        <v>2.19358538845017</v>
      </c>
      <c r="C74">
        <v>11981</v>
      </c>
      <c r="D74">
        <v>1473</v>
      </c>
      <c r="E74">
        <v>122</v>
      </c>
      <c r="F74">
        <v>294</v>
      </c>
      <c r="G74">
        <f t="shared" si="7"/>
        <v>0.2878892733564014</v>
      </c>
    </row>
    <row r="75" spans="1:7" ht="12.75">
      <c r="A75">
        <v>270</v>
      </c>
      <c r="B75">
        <f t="shared" si="6"/>
        <v>2.453097143035094</v>
      </c>
      <c r="C75">
        <v>9651</v>
      </c>
      <c r="D75">
        <v>1657</v>
      </c>
      <c r="E75">
        <v>120</v>
      </c>
      <c r="F75">
        <v>243</v>
      </c>
      <c r="G75">
        <f t="shared" si="7"/>
        <v>0.22283609576427257</v>
      </c>
    </row>
    <row r="76" spans="1:7" ht="12.75">
      <c r="A76">
        <v>300</v>
      </c>
      <c r="B76">
        <f t="shared" si="6"/>
        <v>2.712608897620018</v>
      </c>
      <c r="C76">
        <v>7781</v>
      </c>
      <c r="D76">
        <v>1568</v>
      </c>
      <c r="E76">
        <v>67</v>
      </c>
      <c r="F76">
        <v>133</v>
      </c>
      <c r="G76">
        <f t="shared" si="7"/>
        <v>0.12987012987012986</v>
      </c>
    </row>
    <row r="82" spans="1:4" ht="12.75">
      <c r="A82" t="s">
        <v>16</v>
      </c>
      <c r="B82" t="s">
        <v>39</v>
      </c>
      <c r="C82" s="3"/>
      <c r="D82" s="3"/>
    </row>
    <row r="83" spans="14:15" ht="12.75">
      <c r="N83">
        <v>2.15</v>
      </c>
      <c r="O83">
        <f aca="true" t="shared" si="8" ref="O83:O88">0.1823*N83^4-1.2812*N83^3+3.1645*N83^2-3.5734*N83+2.4108</f>
        <v>0.5181415893750021</v>
      </c>
    </row>
    <row r="84" spans="1:15" ht="12.75">
      <c r="A84" t="s">
        <v>0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  <c r="N84">
        <v>2.16</v>
      </c>
      <c r="O84">
        <f t="shared" si="8"/>
        <v>0.5132772833280006</v>
      </c>
    </row>
    <row r="85" spans="1:15" ht="12.75">
      <c r="A85">
        <v>80</v>
      </c>
      <c r="B85">
        <f aca="true" t="shared" si="9" ref="B85:B93">(A85+13.5822)/115.6017</f>
        <v>0.8095226973305756</v>
      </c>
      <c r="C85" s="18">
        <v>61446</v>
      </c>
      <c r="D85" s="18">
        <v>1541</v>
      </c>
      <c r="E85" s="18">
        <v>523</v>
      </c>
      <c r="F85" s="18">
        <v>960</v>
      </c>
      <c r="G85">
        <f aca="true" t="shared" si="10" ref="G85:G92">(E85+F85)/(D85-14*2)</f>
        <v>0.9801718440185063</v>
      </c>
      <c r="N85">
        <v>2.17</v>
      </c>
      <c r="O85">
        <f t="shared" si="8"/>
        <v>0.508406092382998</v>
      </c>
    </row>
    <row r="86" spans="1:15" ht="12.75">
      <c r="A86">
        <v>100</v>
      </c>
      <c r="B86">
        <f t="shared" si="9"/>
        <v>0.9825305337205249</v>
      </c>
      <c r="C86">
        <v>39329</v>
      </c>
      <c r="D86">
        <v>1614</v>
      </c>
      <c r="E86">
        <v>504</v>
      </c>
      <c r="F86">
        <v>969</v>
      </c>
      <c r="G86">
        <f t="shared" si="10"/>
        <v>0.9287515762925599</v>
      </c>
      <c r="N86">
        <v>2.18</v>
      </c>
      <c r="O86">
        <f t="shared" si="8"/>
        <v>0.5035298016480008</v>
      </c>
    </row>
    <row r="87" spans="1:15" ht="12.75">
      <c r="A87">
        <v>150</v>
      </c>
      <c r="B87">
        <f t="shared" si="9"/>
        <v>1.4150501246953981</v>
      </c>
      <c r="C87">
        <v>28661</v>
      </c>
      <c r="D87">
        <v>1486</v>
      </c>
      <c r="E87">
        <v>381</v>
      </c>
      <c r="F87">
        <v>763</v>
      </c>
      <c r="G87">
        <f t="shared" si="10"/>
        <v>0.7846364883401921</v>
      </c>
      <c r="N87" s="2">
        <v>2.19</v>
      </c>
      <c r="O87" s="2">
        <f t="shared" si="8"/>
        <v>0.49865023998300284</v>
      </c>
    </row>
    <row r="88" spans="1:15" ht="12.75">
      <c r="A88">
        <v>180</v>
      </c>
      <c r="B88">
        <f t="shared" si="9"/>
        <v>1.674561879280322</v>
      </c>
      <c r="C88">
        <v>23661</v>
      </c>
      <c r="D88">
        <v>1549</v>
      </c>
      <c r="E88">
        <v>338</v>
      </c>
      <c r="F88">
        <v>721</v>
      </c>
      <c r="G88">
        <f t="shared" si="10"/>
        <v>0.6962524654832347</v>
      </c>
      <c r="N88">
        <v>2.24</v>
      </c>
      <c r="O88">
        <f t="shared" si="8"/>
        <v>0.4742704404480005</v>
      </c>
    </row>
    <row r="89" spans="1:7" ht="12.75">
      <c r="A89">
        <v>210</v>
      </c>
      <c r="B89">
        <f t="shared" si="9"/>
        <v>1.934073633865246</v>
      </c>
      <c r="C89">
        <v>20117</v>
      </c>
      <c r="D89">
        <v>1634</v>
      </c>
      <c r="E89">
        <v>339</v>
      </c>
      <c r="F89">
        <v>684</v>
      </c>
      <c r="G89">
        <f t="shared" si="10"/>
        <v>0.636986301369863</v>
      </c>
    </row>
    <row r="90" spans="1:7" ht="12.75">
      <c r="A90">
        <v>240</v>
      </c>
      <c r="B90">
        <f t="shared" si="9"/>
        <v>2.19358538845017</v>
      </c>
      <c r="C90">
        <v>36384</v>
      </c>
      <c r="D90">
        <v>1599</v>
      </c>
      <c r="E90">
        <v>268</v>
      </c>
      <c r="F90">
        <v>550</v>
      </c>
      <c r="G90">
        <f t="shared" si="10"/>
        <v>0.5206874602164226</v>
      </c>
    </row>
    <row r="91" spans="1:7" ht="12.75">
      <c r="A91">
        <v>270</v>
      </c>
      <c r="B91">
        <f t="shared" si="9"/>
        <v>2.453097143035094</v>
      </c>
      <c r="C91">
        <v>34139</v>
      </c>
      <c r="D91">
        <v>1545</v>
      </c>
      <c r="E91">
        <v>160</v>
      </c>
      <c r="F91">
        <v>365</v>
      </c>
      <c r="G91">
        <f t="shared" si="10"/>
        <v>0.34607778510217535</v>
      </c>
    </row>
    <row r="92" spans="1:7" ht="12.75">
      <c r="A92">
        <v>300</v>
      </c>
      <c r="B92">
        <f t="shared" si="9"/>
        <v>2.712608897620018</v>
      </c>
      <c r="C92">
        <v>35567</v>
      </c>
      <c r="D92">
        <v>1545</v>
      </c>
      <c r="E92">
        <v>139</v>
      </c>
      <c r="F92">
        <v>332</v>
      </c>
      <c r="G92">
        <f t="shared" si="10"/>
        <v>0.31048121292023734</v>
      </c>
    </row>
    <row r="93" spans="1:2" ht="12.75">
      <c r="A93">
        <v>330</v>
      </c>
      <c r="B93">
        <f t="shared" si="9"/>
        <v>2.972120652204942</v>
      </c>
    </row>
    <row r="101" spans="1:4" ht="12.75">
      <c r="A101" t="s">
        <v>18</v>
      </c>
      <c r="B101" t="s">
        <v>40</v>
      </c>
      <c r="C101" s="3"/>
      <c r="D101" s="3"/>
    </row>
    <row r="103" spans="1:15" ht="12.75">
      <c r="A103" t="s">
        <v>0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N103">
        <v>2.5</v>
      </c>
      <c r="O103">
        <f aca="true" t="shared" si="11" ref="O103:O108">-0.0732*N103^3+0.3939*N103^2-0.9635*N103+1.6021</f>
        <v>0.5114750000000001</v>
      </c>
    </row>
    <row r="104" spans="1:15" ht="12.75">
      <c r="A104">
        <v>100</v>
      </c>
      <c r="B104">
        <f aca="true" t="shared" si="12" ref="B104:B110">(A104+13.5822)/115.6017</f>
        <v>0.9825305337205249</v>
      </c>
      <c r="C104">
        <v>360194</v>
      </c>
      <c r="D104">
        <v>1508</v>
      </c>
      <c r="E104">
        <v>493</v>
      </c>
      <c r="F104">
        <v>937</v>
      </c>
      <c r="G104">
        <f aca="true" t="shared" si="13" ref="G104:G110">(E104+F104)/(D104-14*2)</f>
        <v>0.9662162162162162</v>
      </c>
      <c r="N104">
        <v>2.51</v>
      </c>
      <c r="O104">
        <f t="shared" si="11"/>
        <v>0.5077944167999997</v>
      </c>
    </row>
    <row r="105" spans="1:15" ht="12.75">
      <c r="A105">
        <v>210</v>
      </c>
      <c r="B105">
        <f t="shared" si="12"/>
        <v>1.934073633865246</v>
      </c>
      <c r="C105">
        <v>172053</v>
      </c>
      <c r="D105">
        <v>1624</v>
      </c>
      <c r="E105">
        <v>357</v>
      </c>
      <c r="F105">
        <v>729</v>
      </c>
      <c r="G105">
        <f t="shared" si="13"/>
        <v>0.6804511278195489</v>
      </c>
      <c r="N105">
        <v>2.52</v>
      </c>
      <c r="O105">
        <f t="shared" si="11"/>
        <v>0.5040823743999998</v>
      </c>
    </row>
    <row r="106" spans="1:15" ht="12.75">
      <c r="A106">
        <v>240</v>
      </c>
      <c r="B106">
        <f t="shared" si="12"/>
        <v>2.19358538845017</v>
      </c>
      <c r="C106">
        <v>243770</v>
      </c>
      <c r="D106">
        <v>1617</v>
      </c>
      <c r="E106">
        <v>327</v>
      </c>
      <c r="F106">
        <v>654</v>
      </c>
      <c r="G106">
        <f t="shared" si="13"/>
        <v>0.617369414726243</v>
      </c>
      <c r="N106" s="2">
        <v>2.53</v>
      </c>
      <c r="O106" s="2">
        <f t="shared" si="11"/>
        <v>0.5003384335999999</v>
      </c>
    </row>
    <row r="107" spans="1:15" ht="12.75">
      <c r="A107">
        <v>270</v>
      </c>
      <c r="B107">
        <f t="shared" si="12"/>
        <v>2.453097143035094</v>
      </c>
      <c r="C107">
        <v>262122</v>
      </c>
      <c r="D107">
        <v>1637</v>
      </c>
      <c r="E107">
        <v>278</v>
      </c>
      <c r="F107">
        <v>580</v>
      </c>
      <c r="G107">
        <f t="shared" si="13"/>
        <v>0.5332504661280298</v>
      </c>
      <c r="N107">
        <v>2.54</v>
      </c>
      <c r="O107">
        <f t="shared" si="11"/>
        <v>0.4965621551999997</v>
      </c>
    </row>
    <row r="108" spans="1:15" ht="12.75">
      <c r="A108">
        <v>300</v>
      </c>
      <c r="B108">
        <f t="shared" si="12"/>
        <v>2.712608897620018</v>
      </c>
      <c r="C108">
        <v>214890</v>
      </c>
      <c r="D108">
        <v>1598</v>
      </c>
      <c r="E108">
        <v>196</v>
      </c>
      <c r="F108">
        <v>433</v>
      </c>
      <c r="G108">
        <f t="shared" si="13"/>
        <v>0.40063694267515926</v>
      </c>
      <c r="N108">
        <v>2.55</v>
      </c>
      <c r="O108">
        <f t="shared" si="11"/>
        <v>0.4927530999999996</v>
      </c>
    </row>
    <row r="109" spans="1:7" ht="12.75">
      <c r="A109">
        <v>330</v>
      </c>
      <c r="B109">
        <f t="shared" si="12"/>
        <v>2.972120652204942</v>
      </c>
      <c r="C109">
        <v>127968</v>
      </c>
      <c r="D109">
        <v>1600</v>
      </c>
      <c r="E109">
        <v>165</v>
      </c>
      <c r="F109">
        <v>339</v>
      </c>
      <c r="G109">
        <f t="shared" si="13"/>
        <v>0.32061068702290074</v>
      </c>
    </row>
    <row r="110" spans="1:7" ht="12.75">
      <c r="A110">
        <v>360</v>
      </c>
      <c r="B110">
        <f t="shared" si="12"/>
        <v>3.2316324067898656</v>
      </c>
      <c r="C110">
        <v>79239</v>
      </c>
      <c r="D110">
        <v>1352</v>
      </c>
      <c r="E110">
        <v>52</v>
      </c>
      <c r="F110">
        <v>113</v>
      </c>
      <c r="G110">
        <f t="shared" si="13"/>
        <v>0.12462235649546828</v>
      </c>
    </row>
    <row r="116" spans="1:2" ht="12.75">
      <c r="A116" t="s">
        <v>19</v>
      </c>
      <c r="B116" t="s">
        <v>43</v>
      </c>
    </row>
    <row r="118" spans="1:7" ht="12.75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</row>
    <row r="119" spans="1:15" ht="12.75">
      <c r="A119">
        <v>100</v>
      </c>
      <c r="B119">
        <f aca="true" t="shared" si="14" ref="B119:B125">(A119+13.5822)/115.6017</f>
        <v>0.9825305337205249</v>
      </c>
      <c r="C119">
        <v>101710</v>
      </c>
      <c r="D119">
        <v>1166</v>
      </c>
      <c r="E119">
        <v>654</v>
      </c>
      <c r="F119">
        <v>384</v>
      </c>
      <c r="G119">
        <f aca="true" t="shared" si="15" ref="G119:G124">(E119+F119)/(D119-14*2)</f>
        <v>0.9121265377855887</v>
      </c>
      <c r="N119" s="2">
        <v>2.45</v>
      </c>
      <c r="O119" s="2">
        <f>1.7585*N119^4-16.879*N119^3+60.174*N119^2-94.681*N119+56.14</f>
        <v>0.5000671156249865</v>
      </c>
    </row>
    <row r="120" spans="1:15" ht="12.75">
      <c r="A120">
        <v>210</v>
      </c>
      <c r="B120">
        <f t="shared" si="14"/>
        <v>1.934073633865246</v>
      </c>
      <c r="C120">
        <v>114626</v>
      </c>
      <c r="D120">
        <v>1176</v>
      </c>
      <c r="E120">
        <v>396</v>
      </c>
      <c r="F120">
        <v>299</v>
      </c>
      <c r="G120">
        <f t="shared" si="15"/>
        <v>0.6054006968641115</v>
      </c>
      <c r="N120">
        <v>2.46</v>
      </c>
      <c r="O120">
        <f>1.7585*N120^4-16.879*N120^3+60.174*N120^2-94.681*N120+56.14</f>
        <v>0.4966709677599823</v>
      </c>
    </row>
    <row r="121" spans="1:15" ht="12.75">
      <c r="A121">
        <v>240</v>
      </c>
      <c r="B121">
        <f t="shared" si="14"/>
        <v>2.19358538845017</v>
      </c>
      <c r="C121">
        <v>88714</v>
      </c>
      <c r="D121">
        <v>1153</v>
      </c>
      <c r="E121">
        <v>380</v>
      </c>
      <c r="F121">
        <v>247</v>
      </c>
      <c r="G121">
        <f t="shared" si="15"/>
        <v>0.5573333333333333</v>
      </c>
      <c r="N121">
        <v>2.47</v>
      </c>
      <c r="O121">
        <f>1.7585*N121^4-16.879*N121^3+60.174*N121^2-94.681*N121+56.14</f>
        <v>0.49316633738494886</v>
      </c>
    </row>
    <row r="122" spans="1:15" ht="12.75">
      <c r="A122">
        <v>270</v>
      </c>
      <c r="B122">
        <f t="shared" si="14"/>
        <v>2.453097143035094</v>
      </c>
      <c r="C122">
        <v>62116</v>
      </c>
      <c r="D122">
        <v>1123</v>
      </c>
      <c r="E122">
        <v>322</v>
      </c>
      <c r="F122">
        <v>234</v>
      </c>
      <c r="G122">
        <f t="shared" si="15"/>
        <v>0.5077625570776255</v>
      </c>
      <c r="N122">
        <v>2.48</v>
      </c>
      <c r="O122">
        <f>1.7585*N122^4-16.879*N122^3+60.174*N122^2-94.681*N122+56.14</f>
        <v>0.4895559833600345</v>
      </c>
    </row>
    <row r="123" spans="1:7" ht="12.75">
      <c r="A123">
        <v>300</v>
      </c>
      <c r="B123">
        <f t="shared" si="14"/>
        <v>2.712608897620018</v>
      </c>
      <c r="C123">
        <v>61448</v>
      </c>
      <c r="D123">
        <v>1274</v>
      </c>
      <c r="E123">
        <v>297</v>
      </c>
      <c r="F123">
        <v>202</v>
      </c>
      <c r="G123">
        <f t="shared" si="15"/>
        <v>0.40048154093097915</v>
      </c>
    </row>
    <row r="124" spans="1:7" ht="12.75">
      <c r="A124">
        <v>330</v>
      </c>
      <c r="B124">
        <f t="shared" si="14"/>
        <v>2.972120652204942</v>
      </c>
      <c r="C124">
        <v>43747</v>
      </c>
      <c r="D124">
        <v>1250</v>
      </c>
      <c r="E124">
        <v>298</v>
      </c>
      <c r="F124">
        <v>155</v>
      </c>
      <c r="G124">
        <f t="shared" si="15"/>
        <v>0.3707037643207856</v>
      </c>
    </row>
    <row r="125" spans="1:2" ht="12.75">
      <c r="A125">
        <v>360</v>
      </c>
      <c r="B125">
        <f t="shared" si="14"/>
        <v>3.2316324067898656</v>
      </c>
    </row>
    <row r="133" spans="1:2" ht="12.75">
      <c r="A133" t="s">
        <v>20</v>
      </c>
      <c r="B133" t="s">
        <v>44</v>
      </c>
    </row>
    <row r="135" spans="1:15" ht="12.75">
      <c r="A135" t="s">
        <v>0</v>
      </c>
      <c r="B135" t="s">
        <v>1</v>
      </c>
      <c r="C135" t="s">
        <v>2</v>
      </c>
      <c r="D135" t="s">
        <v>3</v>
      </c>
      <c r="E135" t="s">
        <v>4</v>
      </c>
      <c r="F135" t="s">
        <v>5</v>
      </c>
      <c r="G135" t="s">
        <v>6</v>
      </c>
      <c r="N135" s="2">
        <v>2.59</v>
      </c>
      <c r="O135" s="2">
        <f>0.0095*N135^2-0.2803*N135+1.1634</f>
        <v>0.50114995</v>
      </c>
    </row>
    <row r="136" spans="1:15" ht="12.75">
      <c r="A136">
        <v>100</v>
      </c>
      <c r="B136">
        <f aca="true" t="shared" si="16" ref="B136:B143">(A136+13.5822)/115.6017</f>
        <v>0.9825305337205249</v>
      </c>
      <c r="C136">
        <v>77665</v>
      </c>
      <c r="D136">
        <v>1192</v>
      </c>
      <c r="E136">
        <v>638</v>
      </c>
      <c r="F136">
        <v>401</v>
      </c>
      <c r="G136">
        <f>(E136+F136)/(D136-14*2)</f>
        <v>0.8926116838487973</v>
      </c>
      <c r="N136">
        <v>2.6</v>
      </c>
      <c r="O136">
        <f>0.0095*N136^2-0.2803*N136+1.1634</f>
        <v>0.49883999999999995</v>
      </c>
    </row>
    <row r="137" spans="1:15" ht="12.75">
      <c r="A137">
        <v>210</v>
      </c>
      <c r="B137">
        <f t="shared" si="16"/>
        <v>1.934073633865246</v>
      </c>
      <c r="C137">
        <v>75274</v>
      </c>
      <c r="D137">
        <v>1200</v>
      </c>
      <c r="E137">
        <v>445</v>
      </c>
      <c r="F137">
        <v>306</v>
      </c>
      <c r="G137">
        <f>(E137+F137)/(D137-14*2)</f>
        <v>0.6407849829351536</v>
      </c>
      <c r="N137">
        <v>2.56</v>
      </c>
      <c r="O137">
        <f>0.0095*N137^2-0.2803*N137+1.1634</f>
        <v>0.5080912</v>
      </c>
    </row>
    <row r="138" spans="1:15" ht="12.75">
      <c r="A138">
        <v>270</v>
      </c>
      <c r="B138">
        <f t="shared" si="16"/>
        <v>2.453097143035094</v>
      </c>
      <c r="C138">
        <v>92039</v>
      </c>
      <c r="D138">
        <v>1145</v>
      </c>
      <c r="E138">
        <v>437</v>
      </c>
      <c r="F138">
        <v>255</v>
      </c>
      <c r="G138">
        <f>(E138+F138)/(D138-14*2)</f>
        <v>0.6195165622202328</v>
      </c>
      <c r="N138">
        <v>2.57</v>
      </c>
      <c r="O138">
        <f>0.0095*N138^2-0.2803*N138+1.1634</f>
        <v>0.50577555</v>
      </c>
    </row>
    <row r="139" spans="1:15" ht="12.75">
      <c r="A139">
        <v>300</v>
      </c>
      <c r="B139">
        <f t="shared" si="16"/>
        <v>2.712608897620018</v>
      </c>
      <c r="C139">
        <v>37008</v>
      </c>
      <c r="D139">
        <v>1266</v>
      </c>
      <c r="E139">
        <v>315</v>
      </c>
      <c r="F139">
        <v>190</v>
      </c>
      <c r="G139">
        <f>(E139+F139)/(D139-14*2)</f>
        <v>0.4079159935379645</v>
      </c>
      <c r="N139">
        <v>2.58</v>
      </c>
      <c r="O139">
        <f>0.0095*N139^2-0.2803*N139+1.1634</f>
        <v>0.5034618</v>
      </c>
    </row>
    <row r="140" spans="1:2" ht="12.75">
      <c r="A140">
        <v>330</v>
      </c>
      <c r="B140">
        <f t="shared" si="16"/>
        <v>2.972120652204942</v>
      </c>
    </row>
    <row r="141" spans="1:2" ht="12.75">
      <c r="A141">
        <v>360</v>
      </c>
      <c r="B141">
        <f t="shared" si="16"/>
        <v>3.2316324067898656</v>
      </c>
    </row>
    <row r="142" spans="1:2" ht="12.75">
      <c r="A142">
        <v>390</v>
      </c>
      <c r="B142">
        <f t="shared" si="16"/>
        <v>3.49114416137479</v>
      </c>
    </row>
    <row r="143" spans="1:2" ht="12.75">
      <c r="A143">
        <v>420</v>
      </c>
      <c r="B143">
        <f t="shared" si="16"/>
        <v>3.7506559159597135</v>
      </c>
    </row>
    <row r="147" ht="12.75">
      <c r="A147" t="s">
        <v>41</v>
      </c>
    </row>
    <row r="148" spans="2:3" ht="12.75">
      <c r="B148" t="s">
        <v>31</v>
      </c>
      <c r="C148" t="s">
        <v>42</v>
      </c>
    </row>
    <row r="149" spans="2:3" ht="12.75">
      <c r="B149">
        <v>10</v>
      </c>
      <c r="C149">
        <v>1</v>
      </c>
    </row>
    <row r="150" spans="2:3" ht="12.75">
      <c r="B150">
        <v>20</v>
      </c>
      <c r="C150">
        <v>1.4</v>
      </c>
    </row>
    <row r="151" spans="2:3" ht="12.75">
      <c r="B151">
        <v>30</v>
      </c>
      <c r="C151">
        <v>1.8</v>
      </c>
    </row>
    <row r="152" spans="2:3" ht="12.75">
      <c r="B152">
        <v>40</v>
      </c>
      <c r="C152">
        <v>2.1</v>
      </c>
    </row>
    <row r="153" spans="2:3" ht="12.75">
      <c r="B153">
        <v>50</v>
      </c>
      <c r="C153">
        <v>2.4</v>
      </c>
    </row>
    <row r="154" spans="2:3" ht="12.75">
      <c r="B154">
        <v>60</v>
      </c>
      <c r="C154">
        <v>2.6</v>
      </c>
    </row>
    <row r="155" spans="2:3" ht="12.75">
      <c r="B155">
        <v>70</v>
      </c>
      <c r="C155">
        <v>2.9</v>
      </c>
    </row>
    <row r="156" spans="2:3" ht="12.75">
      <c r="B156">
        <v>80</v>
      </c>
      <c r="C156">
        <v>3.2</v>
      </c>
    </row>
    <row r="157" spans="2:3" ht="12.75">
      <c r="B157">
        <v>90</v>
      </c>
      <c r="C157">
        <v>3.4</v>
      </c>
    </row>
    <row r="158" spans="2:3" ht="12.75">
      <c r="B158">
        <v>100</v>
      </c>
      <c r="C158">
        <v>3.6</v>
      </c>
    </row>
    <row r="159" spans="2:3" ht="12.75">
      <c r="B159">
        <v>150</v>
      </c>
      <c r="C159">
        <v>4.5</v>
      </c>
    </row>
    <row r="160" spans="2:3" ht="12.75">
      <c r="B160">
        <v>200</v>
      </c>
      <c r="C160">
        <v>8</v>
      </c>
    </row>
    <row r="161" spans="2:3" ht="12.75">
      <c r="B161">
        <v>250</v>
      </c>
      <c r="C161">
        <v>16</v>
      </c>
    </row>
    <row r="162" spans="2:3" ht="12.75">
      <c r="B162">
        <v>300</v>
      </c>
      <c r="C162">
        <v>25</v>
      </c>
    </row>
    <row r="163" spans="2:3" ht="12.75">
      <c r="B163">
        <v>350</v>
      </c>
      <c r="C163">
        <v>32</v>
      </c>
    </row>
    <row r="164" spans="2:3" ht="12.75">
      <c r="B164">
        <v>400</v>
      </c>
      <c r="C164"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63">
      <selection activeCell="B2" sqref="B2:D9"/>
    </sheetView>
  </sheetViews>
  <sheetFormatPr defaultColWidth="9.140625" defaultRowHeight="12.75"/>
  <cols>
    <col min="1" max="1" width="11.57421875" style="0" customWidth="1"/>
  </cols>
  <sheetData>
    <row r="1" ht="12.75">
      <c r="A1" t="s">
        <v>47</v>
      </c>
    </row>
    <row r="2" spans="2:4" ht="12.75">
      <c r="B2" t="s">
        <v>31</v>
      </c>
      <c r="C2" t="s">
        <v>61</v>
      </c>
      <c r="D2" t="s">
        <v>62</v>
      </c>
    </row>
    <row r="3" spans="2:4" ht="12.75">
      <c r="B3">
        <v>40</v>
      </c>
      <c r="C3">
        <f>G21</f>
        <v>0.24746125066809194</v>
      </c>
      <c r="D3">
        <f>O20</f>
        <v>0.8</v>
      </c>
    </row>
    <row r="4" spans="2:4" ht="12.75">
      <c r="B4">
        <v>60</v>
      </c>
      <c r="C4">
        <f>G32</f>
        <v>0.5199362041467305</v>
      </c>
      <c r="D4">
        <f>O32</f>
        <v>1</v>
      </c>
    </row>
    <row r="5" spans="2:4" ht="12.75">
      <c r="B5">
        <v>80</v>
      </c>
      <c r="C5">
        <f>G46</f>
        <v>0.7051835853131749</v>
      </c>
      <c r="D5">
        <f>O47</f>
        <v>1.24</v>
      </c>
    </row>
    <row r="6" spans="2:4" ht="12.75">
      <c r="B6">
        <v>100</v>
      </c>
      <c r="C6">
        <f>G62</f>
        <v>0.7643540669856459</v>
      </c>
      <c r="D6">
        <f>O64</f>
        <v>1.42</v>
      </c>
    </row>
    <row r="7" spans="2:4" ht="12.75">
      <c r="B7">
        <v>150</v>
      </c>
      <c r="C7">
        <f>G77</f>
        <v>0.8680897646414888</v>
      </c>
      <c r="D7">
        <f>O79</f>
        <v>1.87</v>
      </c>
    </row>
    <row r="8" spans="2:4" ht="12.75" customHeight="1">
      <c r="B8">
        <v>200</v>
      </c>
      <c r="C8">
        <f>G93</f>
        <v>0.9479110146500271</v>
      </c>
      <c r="D8">
        <f>O98</f>
        <v>2.299999999999999</v>
      </c>
    </row>
    <row r="9" spans="2:4" ht="12.75">
      <c r="B9">
        <v>250</v>
      </c>
      <c r="C9">
        <f>G111</f>
        <v>0.9804141018466704</v>
      </c>
      <c r="D9">
        <f>O113</f>
        <v>2.6199999999999997</v>
      </c>
    </row>
    <row r="16" spans="1:2" ht="12.75">
      <c r="A16" t="s">
        <v>7</v>
      </c>
      <c r="B16" t="s">
        <v>50</v>
      </c>
    </row>
    <row r="18" spans="1:16" ht="12.7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O18">
        <v>0.78</v>
      </c>
      <c r="P18">
        <f>-1.3833*O18^3+5.8543*O18^2-8.4059*O18+4.1866</f>
        <v>0.5353063383999999</v>
      </c>
    </row>
    <row r="19" spans="1:16" ht="12.75">
      <c r="A19">
        <v>80</v>
      </c>
      <c r="B19">
        <f>(A19+13.5822)/115.6017</f>
        <v>0.8095226973305756</v>
      </c>
      <c r="C19">
        <v>18699</v>
      </c>
      <c r="D19">
        <v>1986</v>
      </c>
      <c r="E19">
        <v>296</v>
      </c>
      <c r="F19">
        <v>639</v>
      </c>
      <c r="G19">
        <f>(E19+F19)/(D19-14*2)</f>
        <v>0.47752808988764045</v>
      </c>
      <c r="O19">
        <f>O18+0.01</f>
        <v>0.79</v>
      </c>
      <c r="P19">
        <f>-1.3833*O19^3+5.8543*O19^2-8.4059*O19+4.1866</f>
        <v>0.5175867813000004</v>
      </c>
    </row>
    <row r="20" spans="1:16" ht="12.75">
      <c r="A20">
        <v>90</v>
      </c>
      <c r="B20">
        <f>(A20+13.5822)/115.6017</f>
        <v>0.8960266155255503</v>
      </c>
      <c r="C20">
        <v>14573</v>
      </c>
      <c r="D20">
        <v>1917</v>
      </c>
      <c r="E20">
        <v>203</v>
      </c>
      <c r="F20">
        <v>518</v>
      </c>
      <c r="G20">
        <f>(E20+F20)/(D20-14*2)</f>
        <v>0.38168343038644786</v>
      </c>
      <c r="O20" s="2">
        <f>O19+0.01</f>
        <v>0.8</v>
      </c>
      <c r="P20" s="2">
        <f>-1.3833*O20^3+5.8543*O20^2-8.4059*O20+4.1866</f>
        <v>0.5003823999999994</v>
      </c>
    </row>
    <row r="21" spans="1:16" ht="12.75">
      <c r="A21" s="1">
        <v>100</v>
      </c>
      <c r="B21">
        <f>(A21+13.5822)/115.6017</f>
        <v>0.9825305337205249</v>
      </c>
      <c r="C21" s="1">
        <v>12152</v>
      </c>
      <c r="D21" s="1">
        <v>1899</v>
      </c>
      <c r="E21" s="1">
        <v>154</v>
      </c>
      <c r="F21" s="1">
        <v>309</v>
      </c>
      <c r="G21">
        <f>(E21+F21)/(D21-14*2)</f>
        <v>0.24746125066809194</v>
      </c>
      <c r="O21">
        <f>O20+0.01</f>
        <v>0.81</v>
      </c>
      <c r="P21">
        <f>-1.3833*O21^3+5.8543*O21^2-8.4059*O21+4.1866</f>
        <v>0.48368489469999965</v>
      </c>
    </row>
    <row r="22" spans="1:16" ht="12.75">
      <c r="A22">
        <v>120</v>
      </c>
      <c r="B22">
        <f>(A22+13.5822)/115.6017</f>
        <v>1.1555383701104742</v>
      </c>
      <c r="C22" s="1">
        <v>8597</v>
      </c>
      <c r="D22" s="1">
        <v>1935</v>
      </c>
      <c r="E22" s="1">
        <v>88</v>
      </c>
      <c r="F22" s="1">
        <v>220</v>
      </c>
      <c r="G22">
        <f>(E22+F22)/(D22-14*2)</f>
        <v>0.16151022548505506</v>
      </c>
      <c r="O22">
        <f>O21+0.01</f>
        <v>0.8200000000000001</v>
      </c>
      <c r="P22">
        <f>-1.3833*O22^3+5.8543*O22^2-8.4059*O22+4.1866</f>
        <v>0.4674859655999999</v>
      </c>
    </row>
    <row r="23" spans="1:7" ht="12.75">
      <c r="A23">
        <v>150</v>
      </c>
      <c r="B23">
        <f>(A23+13.5822)/115.6017</f>
        <v>1.4150501246953981</v>
      </c>
      <c r="C23" s="1">
        <v>5675</v>
      </c>
      <c r="D23" s="1">
        <v>1927</v>
      </c>
      <c r="E23" s="1">
        <v>57</v>
      </c>
      <c r="F23" s="1">
        <v>122</v>
      </c>
      <c r="G23">
        <f>(E23+F23)/(D23-14*2)</f>
        <v>0.09426013691416535</v>
      </c>
    </row>
    <row r="27" spans="1:2" ht="12.75">
      <c r="A27" t="s">
        <v>9</v>
      </c>
      <c r="B27" t="s">
        <v>48</v>
      </c>
    </row>
    <row r="29" spans="1:7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</row>
    <row r="30" spans="1:16" ht="12.75">
      <c r="A30">
        <v>80</v>
      </c>
      <c r="B30">
        <f aca="true" t="shared" si="0" ref="B30:B35">(A30+13.5822)/115.6017</f>
        <v>0.8095226973305756</v>
      </c>
      <c r="C30">
        <v>24292</v>
      </c>
      <c r="D30">
        <v>2021</v>
      </c>
      <c r="E30">
        <v>433</v>
      </c>
      <c r="F30">
        <v>962</v>
      </c>
      <c r="G30">
        <f aca="true" t="shared" si="1" ref="G30:G35">(E30+F30)/(D30-14*2)</f>
        <v>0.6999498243853487</v>
      </c>
      <c r="O30">
        <v>0.98</v>
      </c>
      <c r="P30">
        <f aca="true" t="shared" si="2" ref="P30:P35">-0.0643*O30^3+0.7396*O30^2-2.1857*O30+2.0129</f>
        <v>0.5207071943999999</v>
      </c>
    </row>
    <row r="31" spans="1:16" ht="12.75">
      <c r="A31">
        <v>90</v>
      </c>
      <c r="B31">
        <f t="shared" si="0"/>
        <v>0.8960266155255503</v>
      </c>
      <c r="C31">
        <v>21241</v>
      </c>
      <c r="D31">
        <v>1921</v>
      </c>
      <c r="E31">
        <v>308</v>
      </c>
      <c r="F31">
        <v>811</v>
      </c>
      <c r="G31">
        <f t="shared" si="1"/>
        <v>0.5911251980982567</v>
      </c>
      <c r="O31">
        <f>O30+0.01</f>
        <v>0.99</v>
      </c>
      <c r="P31">
        <f t="shared" si="2"/>
        <v>0.5115487343000003</v>
      </c>
    </row>
    <row r="32" spans="1:16" ht="12.75">
      <c r="A32" s="1">
        <v>100</v>
      </c>
      <c r="B32">
        <f t="shared" si="0"/>
        <v>0.9825305337205249</v>
      </c>
      <c r="C32">
        <v>18571</v>
      </c>
      <c r="D32">
        <v>1909</v>
      </c>
      <c r="E32">
        <v>279</v>
      </c>
      <c r="F32">
        <v>699</v>
      </c>
      <c r="G32">
        <f t="shared" si="1"/>
        <v>0.5199362041467305</v>
      </c>
      <c r="O32" s="2">
        <f>O31+0.01</f>
        <v>1</v>
      </c>
      <c r="P32" s="2">
        <f t="shared" si="2"/>
        <v>0.5025</v>
      </c>
    </row>
    <row r="33" spans="1:16" ht="12.75">
      <c r="A33">
        <v>120</v>
      </c>
      <c r="B33">
        <f t="shared" si="0"/>
        <v>1.1555383701104742</v>
      </c>
      <c r="C33">
        <v>14588</v>
      </c>
      <c r="D33">
        <v>1808</v>
      </c>
      <c r="E33">
        <v>200</v>
      </c>
      <c r="F33">
        <v>480</v>
      </c>
      <c r="G33">
        <f t="shared" si="1"/>
        <v>0.38202247191011235</v>
      </c>
      <c r="O33">
        <f>O32+0.01</f>
        <v>1.01</v>
      </c>
      <c r="P33">
        <f t="shared" si="2"/>
        <v>0.4935606056999997</v>
      </c>
    </row>
    <row r="34" spans="1:16" ht="12.75">
      <c r="A34">
        <v>150</v>
      </c>
      <c r="B34">
        <f t="shared" si="0"/>
        <v>1.4150501246953981</v>
      </c>
      <c r="C34">
        <v>9856</v>
      </c>
      <c r="D34">
        <v>1801</v>
      </c>
      <c r="E34">
        <v>116</v>
      </c>
      <c r="F34">
        <v>265</v>
      </c>
      <c r="G34">
        <f t="shared" si="1"/>
        <v>0.21489001692047377</v>
      </c>
      <c r="O34">
        <f>O33+0.01</f>
        <v>1.02</v>
      </c>
      <c r="P34">
        <f t="shared" si="2"/>
        <v>0.4847301655999998</v>
      </c>
    </row>
    <row r="35" spans="1:16" ht="12.75">
      <c r="A35">
        <v>180</v>
      </c>
      <c r="B35">
        <f t="shared" si="0"/>
        <v>1.674561879280322</v>
      </c>
      <c r="C35">
        <v>6848</v>
      </c>
      <c r="D35">
        <v>1850</v>
      </c>
      <c r="E35">
        <v>72</v>
      </c>
      <c r="F35">
        <v>157</v>
      </c>
      <c r="G35">
        <f t="shared" si="1"/>
        <v>0.1256860592755214</v>
      </c>
      <c r="O35">
        <f>O34+0.01</f>
        <v>1.03</v>
      </c>
      <c r="P35">
        <f t="shared" si="2"/>
        <v>0.47600829389999966</v>
      </c>
    </row>
    <row r="41" spans="1:2" ht="12.75">
      <c r="A41" t="s">
        <v>11</v>
      </c>
      <c r="B41" t="s">
        <v>49</v>
      </c>
    </row>
    <row r="43" spans="1:16" ht="12.7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O43">
        <v>1.2</v>
      </c>
      <c r="P43">
        <f>0.699*O43^3-2.6436*O43^2+2.5258*O43+0.0992</f>
        <v>0.5312479999999995</v>
      </c>
    </row>
    <row r="44" spans="1:16" ht="12.75">
      <c r="A44">
        <v>80</v>
      </c>
      <c r="B44">
        <f aca="true" t="shared" si="3" ref="B44:B51">(A44+13.5822)/115.6017</f>
        <v>0.8095226973305756</v>
      </c>
      <c r="C44">
        <v>29118</v>
      </c>
      <c r="D44">
        <v>1872</v>
      </c>
      <c r="E44">
        <v>422</v>
      </c>
      <c r="F44">
        <v>1015</v>
      </c>
      <c r="G44">
        <f aca="true" t="shared" si="4" ref="G44:G51">(E44+F44)/(D44-14*2)</f>
        <v>0.7792841648590022</v>
      </c>
      <c r="O44">
        <f aca="true" t="shared" si="5" ref="O44:O49">O43+0.01</f>
        <v>1.21</v>
      </c>
      <c r="P44">
        <f aca="true" t="shared" si="6" ref="P44:P49">0.699*O44^3-2.6436*O44^2+2.5258*O44+0.0992</f>
        <v>0.5232443789999996</v>
      </c>
    </row>
    <row r="45" spans="1:16" ht="12.75">
      <c r="A45">
        <v>90</v>
      </c>
      <c r="B45">
        <f t="shared" si="3"/>
        <v>0.8960266155255503</v>
      </c>
      <c r="C45">
        <v>25400</v>
      </c>
      <c r="D45">
        <v>1832</v>
      </c>
      <c r="E45">
        <v>413</v>
      </c>
      <c r="F45">
        <v>919</v>
      </c>
      <c r="G45">
        <f t="shared" si="4"/>
        <v>0.738359201773836</v>
      </c>
      <c r="O45">
        <f t="shared" si="5"/>
        <v>1.22</v>
      </c>
      <c r="P45">
        <f t="shared" si="6"/>
        <v>0.5152195119999996</v>
      </c>
    </row>
    <row r="46" spans="1:16" ht="12.75">
      <c r="A46" s="1">
        <v>100</v>
      </c>
      <c r="B46">
        <f t="shared" si="3"/>
        <v>0.9825305337205249</v>
      </c>
      <c r="C46">
        <v>23616</v>
      </c>
      <c r="D46">
        <v>1880</v>
      </c>
      <c r="E46">
        <v>395</v>
      </c>
      <c r="F46">
        <v>911</v>
      </c>
      <c r="G46">
        <f t="shared" si="4"/>
        <v>0.7051835853131749</v>
      </c>
      <c r="O46">
        <f t="shared" si="5"/>
        <v>1.23</v>
      </c>
      <c r="P46">
        <f t="shared" si="6"/>
        <v>0.5071775929999995</v>
      </c>
    </row>
    <row r="47" spans="1:16" ht="12.75">
      <c r="A47">
        <v>120</v>
      </c>
      <c r="B47">
        <f t="shared" si="3"/>
        <v>1.1555383701104742</v>
      </c>
      <c r="C47">
        <v>19117</v>
      </c>
      <c r="D47">
        <v>1886</v>
      </c>
      <c r="E47">
        <v>330</v>
      </c>
      <c r="F47">
        <v>739</v>
      </c>
      <c r="G47">
        <f t="shared" si="4"/>
        <v>0.5753498385360603</v>
      </c>
      <c r="O47" s="2">
        <f t="shared" si="5"/>
        <v>1.24</v>
      </c>
      <c r="P47" s="2">
        <f t="shared" si="6"/>
        <v>0.4991228159999997</v>
      </c>
    </row>
    <row r="48" spans="1:16" ht="12.75">
      <c r="A48">
        <v>135</v>
      </c>
      <c r="B48">
        <f>(A48+13.5822)/115.6017</f>
        <v>1.2852942474029363</v>
      </c>
      <c r="C48">
        <v>16387</v>
      </c>
      <c r="D48">
        <v>1767</v>
      </c>
      <c r="E48">
        <v>219</v>
      </c>
      <c r="F48">
        <v>525</v>
      </c>
      <c r="G48">
        <f>(E48+F48)/(D48-14*2)</f>
        <v>0.4278320874065555</v>
      </c>
      <c r="O48">
        <f t="shared" si="5"/>
        <v>1.25</v>
      </c>
      <c r="P48">
        <f t="shared" si="6"/>
        <v>0.4910593749999997</v>
      </c>
    </row>
    <row r="49" spans="1:16" ht="12.75">
      <c r="A49">
        <v>150</v>
      </c>
      <c r="B49">
        <f t="shared" si="3"/>
        <v>1.4150501246953981</v>
      </c>
      <c r="C49">
        <v>14226</v>
      </c>
      <c r="D49">
        <v>1746</v>
      </c>
      <c r="E49">
        <v>195</v>
      </c>
      <c r="F49">
        <v>460</v>
      </c>
      <c r="G49">
        <f t="shared" si="4"/>
        <v>0.38125727590221187</v>
      </c>
      <c r="O49">
        <f t="shared" si="5"/>
        <v>1.26</v>
      </c>
      <c r="P49">
        <f t="shared" si="6"/>
        <v>0.48299146399999976</v>
      </c>
    </row>
    <row r="50" spans="1:7" ht="12.75">
      <c r="A50">
        <v>180</v>
      </c>
      <c r="B50">
        <f t="shared" si="3"/>
        <v>1.674561879280322</v>
      </c>
      <c r="C50">
        <v>10403</v>
      </c>
      <c r="D50">
        <v>1860</v>
      </c>
      <c r="E50">
        <v>96</v>
      </c>
      <c r="F50">
        <v>266</v>
      </c>
      <c r="G50">
        <f t="shared" si="4"/>
        <v>0.19759825327510916</v>
      </c>
    </row>
    <row r="51" spans="1:7" ht="12.75">
      <c r="A51">
        <v>210</v>
      </c>
      <c r="B51">
        <f t="shared" si="3"/>
        <v>1.934073633865246</v>
      </c>
      <c r="C51">
        <v>7497</v>
      </c>
      <c r="D51">
        <v>1856</v>
      </c>
      <c r="E51">
        <v>89</v>
      </c>
      <c r="F51">
        <v>188</v>
      </c>
      <c r="G51">
        <f t="shared" si="4"/>
        <v>0.15153172866520787</v>
      </c>
    </row>
    <row r="58" spans="1:2" ht="12.75">
      <c r="A58" t="s">
        <v>13</v>
      </c>
      <c r="B58" t="s">
        <v>51</v>
      </c>
    </row>
    <row r="60" spans="1:7" ht="12.75">
      <c r="A60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</row>
    <row r="61" spans="1:7" ht="12.75">
      <c r="A61">
        <v>80</v>
      </c>
      <c r="B61">
        <f aca="true" t="shared" si="7" ref="B61:B69">(A61+13.5822)/115.6017</f>
        <v>0.8095226973305756</v>
      </c>
      <c r="C61">
        <v>33072</v>
      </c>
      <c r="D61">
        <v>1869</v>
      </c>
      <c r="E61">
        <v>475</v>
      </c>
      <c r="F61">
        <v>1043</v>
      </c>
      <c r="G61">
        <f aca="true" t="shared" si="8" ref="G61:G69">(E61+F61)/(D61-14*2)</f>
        <v>0.8245518739815317</v>
      </c>
    </row>
    <row r="62" spans="1:16" ht="12.75">
      <c r="A62">
        <v>100</v>
      </c>
      <c r="B62">
        <f t="shared" si="7"/>
        <v>0.9825305337205249</v>
      </c>
      <c r="C62">
        <v>27626</v>
      </c>
      <c r="D62">
        <v>1700</v>
      </c>
      <c r="E62">
        <v>389</v>
      </c>
      <c r="F62">
        <v>889</v>
      </c>
      <c r="G62">
        <f t="shared" si="8"/>
        <v>0.7643540669856459</v>
      </c>
      <c r="O62">
        <v>1.4</v>
      </c>
      <c r="P62">
        <f>0.2416*O62^3-1.0182*O62^2+0.7993*O62+0.7258</f>
        <v>0.5120984000000002</v>
      </c>
    </row>
    <row r="63" spans="1:16" ht="12.75">
      <c r="A63">
        <v>120</v>
      </c>
      <c r="B63">
        <f t="shared" si="7"/>
        <v>1.1555383701104742</v>
      </c>
      <c r="C63">
        <v>23270</v>
      </c>
      <c r="D63">
        <v>1884</v>
      </c>
      <c r="E63">
        <v>372</v>
      </c>
      <c r="F63">
        <v>874</v>
      </c>
      <c r="G63">
        <f t="shared" si="8"/>
        <v>0.6713362068965517</v>
      </c>
      <c r="O63">
        <f aca="true" t="shared" si="9" ref="O63:O68">O62+0.01</f>
        <v>1.41</v>
      </c>
      <c r="P63">
        <f aca="true" t="shared" si="10" ref="P63:P68">0.2416*O63^3-1.0182*O63^2+0.7993*O63+0.7258</f>
        <v>0.5057877736</v>
      </c>
    </row>
    <row r="64" spans="1:16" ht="12.75">
      <c r="A64">
        <v>150</v>
      </c>
      <c r="B64">
        <f t="shared" si="7"/>
        <v>1.4150501246953981</v>
      </c>
      <c r="C64">
        <v>18135</v>
      </c>
      <c r="D64">
        <v>1794</v>
      </c>
      <c r="E64">
        <v>284</v>
      </c>
      <c r="F64">
        <v>662</v>
      </c>
      <c r="G64">
        <f t="shared" si="8"/>
        <v>0.535673839184598</v>
      </c>
      <c r="O64" s="2">
        <f t="shared" si="9"/>
        <v>1.42</v>
      </c>
      <c r="P64" s="2">
        <f t="shared" si="10"/>
        <v>0.4994779007999999</v>
      </c>
    </row>
    <row r="65" spans="1:16" ht="12.75">
      <c r="A65">
        <v>165</v>
      </c>
      <c r="B65">
        <f>(A65+13.5822)/115.6017</f>
        <v>1.5448060019878602</v>
      </c>
      <c r="C65">
        <v>15233</v>
      </c>
      <c r="D65">
        <v>1889</v>
      </c>
      <c r="E65">
        <v>197</v>
      </c>
      <c r="F65">
        <v>508</v>
      </c>
      <c r="G65">
        <f>(E65+F65)/(D65-14*2)</f>
        <v>0.3788285867813004</v>
      </c>
      <c r="O65">
        <f t="shared" si="9"/>
        <v>1.43</v>
      </c>
      <c r="P65">
        <f t="shared" si="10"/>
        <v>0.49317023120000036</v>
      </c>
    </row>
    <row r="66" spans="1:16" ht="12.75">
      <c r="A66">
        <v>180</v>
      </c>
      <c r="B66">
        <f t="shared" si="7"/>
        <v>1.674561879280322</v>
      </c>
      <c r="C66">
        <v>13763</v>
      </c>
      <c r="D66">
        <v>1803</v>
      </c>
      <c r="E66">
        <v>157</v>
      </c>
      <c r="F66">
        <v>428</v>
      </c>
      <c r="G66">
        <f t="shared" si="8"/>
        <v>0.3295774647887324</v>
      </c>
      <c r="O66">
        <f t="shared" si="9"/>
        <v>1.44</v>
      </c>
      <c r="P66">
        <f t="shared" si="10"/>
        <v>0.4868662144</v>
      </c>
    </row>
    <row r="67" spans="1:16" ht="12.75">
      <c r="A67">
        <v>210</v>
      </c>
      <c r="B67">
        <f t="shared" si="7"/>
        <v>1.934073633865246</v>
      </c>
      <c r="C67">
        <v>10314</v>
      </c>
      <c r="D67">
        <v>1848</v>
      </c>
      <c r="E67">
        <v>117</v>
      </c>
      <c r="F67">
        <v>281</v>
      </c>
      <c r="G67">
        <f t="shared" si="8"/>
        <v>0.21868131868131868</v>
      </c>
      <c r="O67">
        <f t="shared" si="9"/>
        <v>1.45</v>
      </c>
      <c r="P67">
        <f t="shared" si="10"/>
        <v>0.4805672999999997</v>
      </c>
    </row>
    <row r="68" spans="1:16" ht="12.75">
      <c r="A68">
        <v>240</v>
      </c>
      <c r="B68">
        <f t="shared" si="7"/>
        <v>2.19358538845017</v>
      </c>
      <c r="C68">
        <v>8111</v>
      </c>
      <c r="D68">
        <v>1852</v>
      </c>
      <c r="E68">
        <v>84</v>
      </c>
      <c r="F68">
        <v>191</v>
      </c>
      <c r="G68">
        <f t="shared" si="8"/>
        <v>0.15076754385964913</v>
      </c>
      <c r="O68">
        <f t="shared" si="9"/>
        <v>1.46</v>
      </c>
      <c r="P68">
        <f t="shared" si="10"/>
        <v>0.47427493760000017</v>
      </c>
    </row>
    <row r="69" spans="1:7" ht="12.75">
      <c r="A69">
        <v>270</v>
      </c>
      <c r="B69">
        <f t="shared" si="7"/>
        <v>2.453097143035094</v>
      </c>
      <c r="C69">
        <v>6221</v>
      </c>
      <c r="D69">
        <v>1767</v>
      </c>
      <c r="E69">
        <v>75</v>
      </c>
      <c r="F69">
        <v>127</v>
      </c>
      <c r="G69">
        <f t="shared" si="8"/>
        <v>0.11615871190339276</v>
      </c>
    </row>
    <row r="73" spans="1:4" ht="12.75">
      <c r="A73" t="s">
        <v>17</v>
      </c>
      <c r="B73" t="s">
        <v>52</v>
      </c>
      <c r="C73" s="3"/>
      <c r="D73" s="3"/>
    </row>
    <row r="75" spans="1:7" ht="12.75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</row>
    <row r="76" spans="1:7" ht="12.75">
      <c r="A76" s="1">
        <v>80</v>
      </c>
      <c r="B76">
        <f aca="true" t="shared" si="11" ref="B76:B84">(A76+13.5822)/115.6017</f>
        <v>0.8095226973305756</v>
      </c>
      <c r="C76" s="1">
        <v>43882</v>
      </c>
      <c r="D76" s="1">
        <v>1813</v>
      </c>
      <c r="E76" s="1">
        <v>533</v>
      </c>
      <c r="F76" s="1">
        <v>1135</v>
      </c>
      <c r="G76">
        <f aca="true" t="shared" si="12" ref="G76:G84">(E76+F76)/(D76-14*2)</f>
        <v>0.934453781512605</v>
      </c>
    </row>
    <row r="77" spans="1:16" ht="12.75">
      <c r="A77">
        <v>100</v>
      </c>
      <c r="B77">
        <f t="shared" si="11"/>
        <v>0.9825305337205249</v>
      </c>
      <c r="C77">
        <v>37246</v>
      </c>
      <c r="D77">
        <v>1855</v>
      </c>
      <c r="E77">
        <v>520</v>
      </c>
      <c r="F77">
        <v>1066</v>
      </c>
      <c r="G77">
        <f t="shared" si="12"/>
        <v>0.8680897646414888</v>
      </c>
      <c r="O77">
        <v>1.85</v>
      </c>
      <c r="P77">
        <f>0.0706*O77^3-0.3812*O77^2+0.2205*O77+0.9594</f>
        <v>0.5096807250000002</v>
      </c>
    </row>
    <row r="78" spans="1:16" ht="12.75">
      <c r="A78">
        <v>120</v>
      </c>
      <c r="B78">
        <f t="shared" si="11"/>
        <v>1.1555383701104742</v>
      </c>
      <c r="C78">
        <v>32115</v>
      </c>
      <c r="D78">
        <v>1845</v>
      </c>
      <c r="E78">
        <v>457</v>
      </c>
      <c r="F78">
        <v>1004</v>
      </c>
      <c r="G78">
        <f t="shared" si="12"/>
        <v>0.8040726472206935</v>
      </c>
      <c r="O78">
        <f aca="true" t="shared" si="13" ref="O78:O83">O77+0.01</f>
        <v>1.86</v>
      </c>
      <c r="P78">
        <f aca="true" t="shared" si="14" ref="P78:P83">0.0706*O78^3-0.3812*O78^2+0.2205*O78+0.9594</f>
        <v>0.5050313136</v>
      </c>
    </row>
    <row r="79" spans="1:16" ht="12.75">
      <c r="A79">
        <v>150</v>
      </c>
      <c r="B79">
        <f t="shared" si="11"/>
        <v>1.4150501246953981</v>
      </c>
      <c r="C79">
        <v>26656</v>
      </c>
      <c r="D79">
        <v>1849</v>
      </c>
      <c r="E79">
        <v>397</v>
      </c>
      <c r="F79">
        <v>891</v>
      </c>
      <c r="G79">
        <f t="shared" si="12"/>
        <v>0.7073036792970895</v>
      </c>
      <c r="O79" s="2">
        <f t="shared" si="13"/>
        <v>1.87</v>
      </c>
      <c r="P79" s="2">
        <f t="shared" si="14"/>
        <v>0.5003844518</v>
      </c>
    </row>
    <row r="80" spans="1:16" ht="12.75">
      <c r="A80">
        <v>180</v>
      </c>
      <c r="B80">
        <f t="shared" si="11"/>
        <v>1.674561879280322</v>
      </c>
      <c r="C80">
        <v>21592</v>
      </c>
      <c r="D80">
        <v>1884</v>
      </c>
      <c r="E80">
        <v>310</v>
      </c>
      <c r="F80">
        <v>793</v>
      </c>
      <c r="G80">
        <f t="shared" si="12"/>
        <v>0.5942887931034483</v>
      </c>
      <c r="O80">
        <f t="shared" si="13"/>
        <v>1.8800000000000001</v>
      </c>
      <c r="P80">
        <f t="shared" si="14"/>
        <v>0.49574056319999993</v>
      </c>
    </row>
    <row r="81" spans="1:16" ht="12.75">
      <c r="A81">
        <v>210</v>
      </c>
      <c r="B81">
        <f t="shared" si="11"/>
        <v>1.934073633865246</v>
      </c>
      <c r="C81">
        <v>17839</v>
      </c>
      <c r="D81">
        <v>1832</v>
      </c>
      <c r="E81">
        <v>261</v>
      </c>
      <c r="F81">
        <v>623</v>
      </c>
      <c r="G81">
        <f t="shared" si="12"/>
        <v>0.49002217294900224</v>
      </c>
      <c r="O81">
        <f t="shared" si="13"/>
        <v>1.8900000000000001</v>
      </c>
      <c r="P81">
        <f t="shared" si="14"/>
        <v>0.4911000714</v>
      </c>
    </row>
    <row r="82" spans="1:16" ht="12.75">
      <c r="A82">
        <v>240</v>
      </c>
      <c r="B82">
        <f t="shared" si="11"/>
        <v>2.19358538845017</v>
      </c>
      <c r="C82">
        <v>14249</v>
      </c>
      <c r="D82">
        <v>1868</v>
      </c>
      <c r="E82">
        <v>209</v>
      </c>
      <c r="F82">
        <v>433</v>
      </c>
      <c r="G82">
        <f t="shared" si="12"/>
        <v>0.34891304347826085</v>
      </c>
      <c r="O82">
        <f t="shared" si="13"/>
        <v>1.9000000000000001</v>
      </c>
      <c r="P82">
        <f t="shared" si="14"/>
        <v>0.4864634</v>
      </c>
    </row>
    <row r="83" spans="1:16" ht="12.75">
      <c r="A83">
        <v>270</v>
      </c>
      <c r="B83">
        <f t="shared" si="11"/>
        <v>2.453097143035094</v>
      </c>
      <c r="C83">
        <v>11460</v>
      </c>
      <c r="D83">
        <v>1829</v>
      </c>
      <c r="E83">
        <v>111</v>
      </c>
      <c r="F83">
        <v>297</v>
      </c>
      <c r="G83">
        <f t="shared" si="12"/>
        <v>0.22654081066074402</v>
      </c>
      <c r="O83">
        <f t="shared" si="13"/>
        <v>1.9100000000000001</v>
      </c>
      <c r="P83">
        <f t="shared" si="14"/>
        <v>0.4818309726000002</v>
      </c>
    </row>
    <row r="84" spans="1:7" ht="12.75">
      <c r="A84">
        <v>300</v>
      </c>
      <c r="B84">
        <f t="shared" si="11"/>
        <v>2.712608897620018</v>
      </c>
      <c r="C84">
        <v>9335</v>
      </c>
      <c r="D84">
        <v>1783</v>
      </c>
      <c r="E84">
        <v>92</v>
      </c>
      <c r="F84">
        <v>210</v>
      </c>
      <c r="G84">
        <f t="shared" si="12"/>
        <v>0.17207977207977207</v>
      </c>
    </row>
    <row r="90" spans="1:4" ht="12.75">
      <c r="A90" t="s">
        <v>16</v>
      </c>
      <c r="C90" s="3"/>
      <c r="D90" s="3"/>
    </row>
    <row r="92" spans="1:7" ht="12.75">
      <c r="A92" t="s">
        <v>0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</row>
    <row r="93" spans="1:16" ht="12.75">
      <c r="A93">
        <v>100</v>
      </c>
      <c r="B93">
        <f aca="true" t="shared" si="15" ref="B93:B100">(A93+13.5822)/115.6017</f>
        <v>0.9825305337205249</v>
      </c>
      <c r="C93">
        <v>46457</v>
      </c>
      <c r="D93">
        <v>1871</v>
      </c>
      <c r="E93">
        <v>586</v>
      </c>
      <c r="F93">
        <v>1161</v>
      </c>
      <c r="G93">
        <f aca="true" t="shared" si="16" ref="G93:G100">(E93+F93)/(D93-14*2)</f>
        <v>0.9479110146500271</v>
      </c>
      <c r="O93">
        <v>2.25</v>
      </c>
      <c r="P93">
        <f>-0.0167*O93^3+0.0699*O93^2-0.4252*O93+1.3114</f>
        <v>0.5183453124999998</v>
      </c>
    </row>
    <row r="94" spans="1:16" ht="12.75">
      <c r="A94">
        <v>150</v>
      </c>
      <c r="B94">
        <f t="shared" si="15"/>
        <v>1.4150501246953981</v>
      </c>
      <c r="C94">
        <v>34707</v>
      </c>
      <c r="D94">
        <v>1856</v>
      </c>
      <c r="E94">
        <v>454</v>
      </c>
      <c r="F94">
        <v>1002</v>
      </c>
      <c r="G94">
        <f t="shared" si="16"/>
        <v>0.7964989059080962</v>
      </c>
      <c r="O94">
        <f aca="true" t="shared" si="17" ref="O94:O100">O93+0.01</f>
        <v>2.26</v>
      </c>
      <c r="P94">
        <f aca="true" t="shared" si="18" ref="P94:P100">-0.0167*O94^3+0.0699*O94^2-0.4252*O94+1.3114</f>
        <v>0.5146982008000001</v>
      </c>
    </row>
    <row r="95" spans="1:16" ht="12.75">
      <c r="A95">
        <v>180</v>
      </c>
      <c r="B95">
        <f t="shared" si="15"/>
        <v>1.674561879280322</v>
      </c>
      <c r="C95">
        <v>28905</v>
      </c>
      <c r="D95">
        <v>1886</v>
      </c>
      <c r="E95">
        <v>404</v>
      </c>
      <c r="F95">
        <v>932</v>
      </c>
      <c r="G95">
        <f t="shared" si="16"/>
        <v>0.7190527448869752</v>
      </c>
      <c r="O95">
        <f t="shared" si="17"/>
        <v>2.2699999999999996</v>
      </c>
      <c r="P95">
        <f t="shared" si="18"/>
        <v>0.5110424239</v>
      </c>
    </row>
    <row r="96" spans="1:16" ht="12.75">
      <c r="A96">
        <v>210</v>
      </c>
      <c r="B96">
        <f t="shared" si="15"/>
        <v>1.934073633865246</v>
      </c>
      <c r="C96">
        <v>24174</v>
      </c>
      <c r="D96">
        <v>1888</v>
      </c>
      <c r="E96">
        <v>353</v>
      </c>
      <c r="F96">
        <v>791</v>
      </c>
      <c r="G96">
        <f t="shared" si="16"/>
        <v>0.6150537634408603</v>
      </c>
      <c r="O96">
        <f t="shared" si="17"/>
        <v>2.2799999999999994</v>
      </c>
      <c r="P96">
        <f t="shared" si="18"/>
        <v>0.5073778816000001</v>
      </c>
    </row>
    <row r="97" spans="1:16" ht="12.75">
      <c r="A97">
        <v>240</v>
      </c>
      <c r="B97">
        <f t="shared" si="15"/>
        <v>2.19358538845017</v>
      </c>
      <c r="C97">
        <v>20718</v>
      </c>
      <c r="D97">
        <v>1745</v>
      </c>
      <c r="E97">
        <v>321</v>
      </c>
      <c r="F97">
        <v>651</v>
      </c>
      <c r="G97">
        <f t="shared" si="16"/>
        <v>0.5661036691904484</v>
      </c>
      <c r="O97">
        <f t="shared" si="17"/>
        <v>2.289999999999999</v>
      </c>
      <c r="P97">
        <f t="shared" si="18"/>
        <v>0.5037044737000003</v>
      </c>
    </row>
    <row r="98" spans="1:16" ht="12.75">
      <c r="A98">
        <v>270</v>
      </c>
      <c r="B98">
        <f t="shared" si="15"/>
        <v>2.453097143035094</v>
      </c>
      <c r="C98">
        <v>17561</v>
      </c>
      <c r="D98">
        <v>1780</v>
      </c>
      <c r="E98">
        <v>255</v>
      </c>
      <c r="F98">
        <v>531</v>
      </c>
      <c r="G98">
        <f t="shared" si="16"/>
        <v>0.4486301369863014</v>
      </c>
      <c r="O98" s="2">
        <f t="shared" si="17"/>
        <v>2.299999999999999</v>
      </c>
      <c r="P98" s="2">
        <f t="shared" si="18"/>
        <v>0.5000221000000002</v>
      </c>
    </row>
    <row r="99" spans="1:16" ht="12.75">
      <c r="A99">
        <v>300</v>
      </c>
      <c r="B99">
        <f t="shared" si="15"/>
        <v>2.712608897620018</v>
      </c>
      <c r="C99">
        <v>13860</v>
      </c>
      <c r="D99">
        <v>1860</v>
      </c>
      <c r="E99">
        <v>175</v>
      </c>
      <c r="F99">
        <v>391</v>
      </c>
      <c r="G99">
        <f t="shared" si="16"/>
        <v>0.3089519650655022</v>
      </c>
      <c r="O99">
        <f t="shared" si="17"/>
        <v>2.3099999999999987</v>
      </c>
      <c r="P99">
        <f t="shared" si="18"/>
        <v>0.4963306603000003</v>
      </c>
    </row>
    <row r="100" spans="1:16" ht="12.75">
      <c r="A100">
        <v>330</v>
      </c>
      <c r="B100">
        <f t="shared" si="15"/>
        <v>2.972120652204942</v>
      </c>
      <c r="C100">
        <v>11802</v>
      </c>
      <c r="D100">
        <v>1886</v>
      </c>
      <c r="E100">
        <v>137</v>
      </c>
      <c r="F100">
        <v>309</v>
      </c>
      <c r="G100">
        <f t="shared" si="16"/>
        <v>0.24004305705059203</v>
      </c>
      <c r="O100">
        <f t="shared" si="17"/>
        <v>2.3199999999999985</v>
      </c>
      <c r="P100">
        <f t="shared" si="18"/>
        <v>0.4926300544000004</v>
      </c>
    </row>
    <row r="108" spans="1:4" ht="12.75">
      <c r="A108" t="s">
        <v>18</v>
      </c>
      <c r="B108" t="s">
        <v>53</v>
      </c>
      <c r="C108" s="3"/>
      <c r="D108" s="3"/>
    </row>
    <row r="110" spans="1:7" ht="12.75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</row>
    <row r="111" spans="1:16" ht="12.75">
      <c r="A111">
        <v>100</v>
      </c>
      <c r="B111">
        <f aca="true" t="shared" si="19" ref="B111:B117">(A111+13.5822)/115.6017</f>
        <v>0.9825305337205249</v>
      </c>
      <c r="C111">
        <v>271529</v>
      </c>
      <c r="D111">
        <v>1815</v>
      </c>
      <c r="E111">
        <v>605</v>
      </c>
      <c r="F111">
        <v>1147</v>
      </c>
      <c r="G111">
        <f aca="true" t="shared" si="20" ref="G111:G117">(E111+F111)/(D111-14*2)</f>
        <v>0.9804141018466704</v>
      </c>
      <c r="O111">
        <v>2.6</v>
      </c>
      <c r="P111">
        <f>-0.022*O111^3+0.1128*O111^2-0.4695*O111+1.3527</f>
        <v>0.5078560000000001</v>
      </c>
    </row>
    <row r="112" spans="1:16" ht="12.75">
      <c r="A112">
        <v>210</v>
      </c>
      <c r="B112">
        <f t="shared" si="19"/>
        <v>1.934073633865246</v>
      </c>
      <c r="C112">
        <v>202107</v>
      </c>
      <c r="D112">
        <v>1807</v>
      </c>
      <c r="E112">
        <v>370</v>
      </c>
      <c r="F112">
        <v>857</v>
      </c>
      <c r="G112">
        <f t="shared" si="20"/>
        <v>0.6897133220910624</v>
      </c>
      <c r="O112">
        <f aca="true" t="shared" si="21" ref="O112:O117">O111+0.01</f>
        <v>2.61</v>
      </c>
      <c r="P112">
        <f aca="true" t="shared" si="22" ref="P112:P117">-0.022*O112^3+0.1128*O112^2-0.4695*O112+1.3527</f>
        <v>0.5045590980000001</v>
      </c>
    </row>
    <row r="113" spans="1:16" ht="12.75">
      <c r="A113">
        <v>240</v>
      </c>
      <c r="B113">
        <f t="shared" si="19"/>
        <v>2.19358538845017</v>
      </c>
      <c r="C113">
        <v>153235</v>
      </c>
      <c r="D113">
        <v>1889</v>
      </c>
      <c r="E113">
        <v>409</v>
      </c>
      <c r="F113">
        <v>822</v>
      </c>
      <c r="G113">
        <f t="shared" si="20"/>
        <v>0.661472326706072</v>
      </c>
      <c r="O113" s="2">
        <f t="shared" si="21"/>
        <v>2.6199999999999997</v>
      </c>
      <c r="P113" s="2">
        <f t="shared" si="22"/>
        <v>0.5012503040000003</v>
      </c>
    </row>
    <row r="114" spans="1:16" ht="12.75">
      <c r="A114">
        <v>270</v>
      </c>
      <c r="B114">
        <f t="shared" si="19"/>
        <v>2.453097143035094</v>
      </c>
      <c r="C114">
        <v>139821</v>
      </c>
      <c r="D114">
        <v>1824</v>
      </c>
      <c r="E114">
        <v>293</v>
      </c>
      <c r="F114">
        <v>681</v>
      </c>
      <c r="G114">
        <f t="shared" si="20"/>
        <v>0.5423162583518931</v>
      </c>
      <c r="O114">
        <f t="shared" si="21"/>
        <v>2.6299999999999994</v>
      </c>
      <c r="P114">
        <f t="shared" si="22"/>
        <v>0.4979294860000003</v>
      </c>
    </row>
    <row r="115" spans="1:16" ht="12.75">
      <c r="A115">
        <v>300</v>
      </c>
      <c r="B115">
        <f t="shared" si="19"/>
        <v>2.712608897620018</v>
      </c>
      <c r="C115">
        <v>132661</v>
      </c>
      <c r="D115">
        <v>1809</v>
      </c>
      <c r="E115">
        <v>260</v>
      </c>
      <c r="F115">
        <v>592</v>
      </c>
      <c r="G115">
        <f t="shared" si="20"/>
        <v>0.4783829309376755</v>
      </c>
      <c r="O115">
        <f t="shared" si="21"/>
        <v>2.6399999999999992</v>
      </c>
      <c r="P115">
        <f t="shared" si="22"/>
        <v>0.49459651200000043</v>
      </c>
    </row>
    <row r="116" spans="1:16" ht="12.75">
      <c r="A116">
        <v>330</v>
      </c>
      <c r="B116">
        <f t="shared" si="19"/>
        <v>2.972120652204942</v>
      </c>
      <c r="C116">
        <v>162718</v>
      </c>
      <c r="D116">
        <v>1824</v>
      </c>
      <c r="E116">
        <v>210</v>
      </c>
      <c r="F116">
        <v>437</v>
      </c>
      <c r="G116">
        <f t="shared" si="20"/>
        <v>0.3602449888641425</v>
      </c>
      <c r="O116">
        <f t="shared" si="21"/>
        <v>2.649999999999999</v>
      </c>
      <c r="P116">
        <f t="shared" si="22"/>
        <v>0.4912512500000005</v>
      </c>
    </row>
    <row r="117" spans="1:16" ht="12.75">
      <c r="A117">
        <v>360</v>
      </c>
      <c r="B117">
        <f t="shared" si="19"/>
        <v>3.2316324067898656</v>
      </c>
      <c r="C117">
        <v>135785</v>
      </c>
      <c r="D117">
        <v>1841</v>
      </c>
      <c r="E117">
        <v>153</v>
      </c>
      <c r="F117">
        <v>349</v>
      </c>
      <c r="G117">
        <f t="shared" si="20"/>
        <v>0.27688913403199117</v>
      </c>
      <c r="O117">
        <f t="shared" si="21"/>
        <v>2.659999999999999</v>
      </c>
      <c r="P117">
        <f t="shared" si="22"/>
        <v>0.4878935680000005</v>
      </c>
    </row>
    <row r="123" spans="1:2" ht="12.75">
      <c r="A123" t="s">
        <v>19</v>
      </c>
      <c r="B123" t="s">
        <v>54</v>
      </c>
    </row>
    <row r="125" spans="1:7" ht="12.7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</row>
    <row r="126" spans="1:2" ht="12.75">
      <c r="A126">
        <v>100</v>
      </c>
      <c r="B126">
        <f aca="true" t="shared" si="23" ref="B126:B132">(A126+13.5822)/115.6017</f>
        <v>0.9825305337205249</v>
      </c>
    </row>
    <row r="127" spans="1:2" ht="12.75">
      <c r="A127">
        <v>210</v>
      </c>
      <c r="B127">
        <f t="shared" si="23"/>
        <v>1.934073633865246</v>
      </c>
    </row>
    <row r="128" spans="1:2" ht="12.75">
      <c r="A128">
        <v>240</v>
      </c>
      <c r="B128">
        <f t="shared" si="23"/>
        <v>2.19358538845017</v>
      </c>
    </row>
    <row r="129" spans="1:2" ht="12.75">
      <c r="A129">
        <v>270</v>
      </c>
      <c r="B129">
        <f t="shared" si="23"/>
        <v>2.453097143035094</v>
      </c>
    </row>
    <row r="130" spans="1:2" ht="12.75">
      <c r="A130">
        <v>300</v>
      </c>
      <c r="B130">
        <f t="shared" si="23"/>
        <v>2.712608897620018</v>
      </c>
    </row>
    <row r="131" spans="1:2" ht="12.75">
      <c r="A131">
        <v>330</v>
      </c>
      <c r="B131">
        <f t="shared" si="23"/>
        <v>2.972120652204942</v>
      </c>
    </row>
    <row r="132" spans="1:2" ht="12.75">
      <c r="A132">
        <v>360</v>
      </c>
      <c r="B132">
        <f t="shared" si="23"/>
        <v>3.2316324067898656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94">
      <selection activeCell="G95" sqref="G95"/>
    </sheetView>
  </sheetViews>
  <sheetFormatPr defaultColWidth="9.140625" defaultRowHeight="12.75"/>
  <cols>
    <col min="1" max="2" width="10.00390625" style="0" customWidth="1"/>
    <col min="3" max="3" width="9.7109375" style="0" customWidth="1"/>
  </cols>
  <sheetData>
    <row r="1" ht="12.75">
      <c r="A1" t="s">
        <v>60</v>
      </c>
    </row>
    <row r="2" spans="1:3" ht="12.75">
      <c r="A2" t="s">
        <v>31</v>
      </c>
      <c r="B2" t="s">
        <v>61</v>
      </c>
      <c r="C2" t="s">
        <v>62</v>
      </c>
    </row>
    <row r="3" spans="1:3" ht="12.75">
      <c r="A3">
        <v>40</v>
      </c>
      <c r="B3">
        <f>G23</f>
        <v>0.25878594249201275</v>
      </c>
      <c r="C3">
        <v>0.77</v>
      </c>
    </row>
    <row r="4" spans="1:3" ht="12.75">
      <c r="A4">
        <v>60</v>
      </c>
      <c r="B4">
        <f>G33</f>
        <v>0.5207226354941552</v>
      </c>
      <c r="C4">
        <v>1.02</v>
      </c>
    </row>
    <row r="5" spans="1:3" ht="12.75">
      <c r="A5">
        <v>80</v>
      </c>
      <c r="B5">
        <f>G46</f>
        <v>0.591304347826087</v>
      </c>
      <c r="C5">
        <v>1.18</v>
      </c>
    </row>
    <row r="6" spans="1:3" ht="12.75">
      <c r="A6">
        <v>100</v>
      </c>
      <c r="B6">
        <f>G63</f>
        <v>0.6925162689804772</v>
      </c>
      <c r="C6">
        <v>1.35</v>
      </c>
    </row>
    <row r="7" spans="1:3" ht="12.75">
      <c r="A7">
        <v>150</v>
      </c>
      <c r="B7">
        <f>G79</f>
        <v>0.754853022739878</v>
      </c>
      <c r="C7">
        <v>1.725</v>
      </c>
    </row>
    <row r="8" spans="1:3" ht="12.75">
      <c r="A8">
        <v>200</v>
      </c>
      <c r="B8">
        <f>G95</f>
        <v>0.8113407525172232</v>
      </c>
      <c r="C8">
        <v>2.17</v>
      </c>
    </row>
    <row r="9" spans="1:3" ht="12.75">
      <c r="A9">
        <v>250</v>
      </c>
      <c r="B9">
        <f>G113</f>
        <v>0.8525530694205393</v>
      </c>
      <c r="C9">
        <v>2.33</v>
      </c>
    </row>
    <row r="10" spans="1:3" ht="12.75">
      <c r="A10">
        <v>300</v>
      </c>
      <c r="B10">
        <f>G128</f>
        <v>0.8756110809342749</v>
      </c>
      <c r="C10">
        <v>2.32</v>
      </c>
    </row>
    <row r="18" spans="1:2" ht="12.75">
      <c r="A18" t="s">
        <v>7</v>
      </c>
      <c r="B18" t="s">
        <v>50</v>
      </c>
    </row>
    <row r="19" spans="14:15" ht="12.75">
      <c r="N19">
        <v>0.76</v>
      </c>
      <c r="O19">
        <f aca="true" t="shared" si="0" ref="O19:O24">-0.4406*N19^3+2.4075*N19^2-4.271*N19+2.5613</f>
        <v>0.5124991744000003</v>
      </c>
    </row>
    <row r="20" spans="1:15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N20" s="2">
        <v>0.77</v>
      </c>
      <c r="O20" s="2">
        <f t="shared" si="0"/>
        <v>0.4988883101999999</v>
      </c>
    </row>
    <row r="21" spans="1:15" ht="12.75">
      <c r="A21">
        <v>80</v>
      </c>
      <c r="B21">
        <f>(A21+13.5822)/115.6017</f>
        <v>0.8095226973305756</v>
      </c>
      <c r="C21">
        <v>22018</v>
      </c>
      <c r="D21">
        <v>1897</v>
      </c>
      <c r="E21">
        <v>343</v>
      </c>
      <c r="F21">
        <v>495</v>
      </c>
      <c r="G21">
        <f>(E21+F21)/(D21-14*2)</f>
        <v>0.4483681112894596</v>
      </c>
      <c r="N21">
        <v>0.73</v>
      </c>
      <c r="O21">
        <f t="shared" si="0"/>
        <v>0.5550258598000006</v>
      </c>
    </row>
    <row r="22" spans="1:15" ht="12.75">
      <c r="A22">
        <v>90</v>
      </c>
      <c r="B22">
        <f>(A22+13.5822)/115.6017</f>
        <v>0.8960266155255503</v>
      </c>
      <c r="C22">
        <v>12673</v>
      </c>
      <c r="D22">
        <v>1885</v>
      </c>
      <c r="E22">
        <v>263</v>
      </c>
      <c r="F22">
        <v>385</v>
      </c>
      <c r="G22">
        <f>(E22+F22)/(D22-14*2)</f>
        <v>0.34894991922455576</v>
      </c>
      <c r="N22">
        <v>0.74</v>
      </c>
      <c r="O22">
        <f t="shared" si="0"/>
        <v>0.5405653056000004</v>
      </c>
    </row>
    <row r="23" spans="1:15" ht="12.75">
      <c r="A23" s="1">
        <v>102</v>
      </c>
      <c r="B23">
        <f>(A23+13.5822)/115.6017</f>
        <v>0.9998313173595198</v>
      </c>
      <c r="C23" s="1">
        <v>9468</v>
      </c>
      <c r="D23" s="1">
        <v>1906</v>
      </c>
      <c r="E23" s="1">
        <v>201</v>
      </c>
      <c r="F23" s="1">
        <v>285</v>
      </c>
      <c r="G23">
        <f>(E23+F23)/(D23-14*2)</f>
        <v>0.25878594249201275</v>
      </c>
      <c r="N23">
        <v>0.75</v>
      </c>
      <c r="O23">
        <f t="shared" si="0"/>
        <v>0.5263906250000003</v>
      </c>
    </row>
    <row r="24" spans="1:15" ht="12.75">
      <c r="A24">
        <v>120</v>
      </c>
      <c r="B24">
        <f>(A24+13.5822)/115.6017</f>
        <v>1.1555383701104742</v>
      </c>
      <c r="C24" s="1">
        <v>8236</v>
      </c>
      <c r="D24" s="1">
        <v>1910</v>
      </c>
      <c r="E24" s="1">
        <v>101</v>
      </c>
      <c r="F24" s="1">
        <v>201</v>
      </c>
      <c r="G24">
        <f>(E24+F24)/(D24-14*2)</f>
        <v>0.16046758767268862</v>
      </c>
      <c r="N24">
        <v>1</v>
      </c>
      <c r="O24">
        <f t="shared" si="0"/>
        <v>0.25720000000000054</v>
      </c>
    </row>
    <row r="25" spans="1:7" ht="12.75">
      <c r="A25">
        <v>150</v>
      </c>
      <c r="B25">
        <f>(A25+13.5822)/115.6017</f>
        <v>1.4150501246953981</v>
      </c>
      <c r="C25" s="1">
        <v>4781</v>
      </c>
      <c r="D25" s="1">
        <v>1870</v>
      </c>
      <c r="E25" s="1">
        <v>80</v>
      </c>
      <c r="F25" s="1">
        <v>86</v>
      </c>
      <c r="G25">
        <f>(E25+F25)/(D25-14*2)</f>
        <v>0.09011943539630836</v>
      </c>
    </row>
    <row r="29" spans="1:2" ht="12.75">
      <c r="A29" t="s">
        <v>9</v>
      </c>
      <c r="B29" t="s">
        <v>55</v>
      </c>
    </row>
    <row r="31" spans="1:15" ht="12.75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N31">
        <v>1.03</v>
      </c>
      <c r="O31">
        <f>1.127*N31^3-3.9748*N31^2+3.8281*N31-0.4625</f>
        <v>0.4950810089999996</v>
      </c>
    </row>
    <row r="32" spans="1:15" ht="12.75">
      <c r="A32">
        <v>80</v>
      </c>
      <c r="B32">
        <f>(A32+13.5822)/115.6017</f>
        <v>0.8095226973305756</v>
      </c>
      <c r="C32">
        <v>20531</v>
      </c>
      <c r="D32">
        <v>1855</v>
      </c>
      <c r="E32">
        <v>515</v>
      </c>
      <c r="F32">
        <v>634</v>
      </c>
      <c r="G32">
        <f>(E32+F32)/(D32-14*2)</f>
        <v>0.6288998357963875</v>
      </c>
      <c r="N32" s="2">
        <v>1.02</v>
      </c>
      <c r="O32" s="2">
        <f>1.127*N32^3-3.9748*N32^2+3.8281*N32-0.4625</f>
        <v>0.5027614959999996</v>
      </c>
    </row>
    <row r="33" spans="1:15" ht="12.75">
      <c r="A33" s="1">
        <v>102</v>
      </c>
      <c r="B33">
        <f>(A33+13.5822)/115.6017</f>
        <v>0.9998313173595198</v>
      </c>
      <c r="C33">
        <v>15082</v>
      </c>
      <c r="D33">
        <v>1910</v>
      </c>
      <c r="E33">
        <v>428</v>
      </c>
      <c r="F33">
        <v>552</v>
      </c>
      <c r="G33">
        <f>(E33+F33)/(D33-14*2)</f>
        <v>0.5207226354941552</v>
      </c>
      <c r="N33">
        <v>0.99</v>
      </c>
      <c r="O33">
        <f>1.127*N33^3-3.9748*N33^2+3.8281*N33-0.4625</f>
        <v>0.5251444929999999</v>
      </c>
    </row>
    <row r="34" spans="1:15" ht="12.75">
      <c r="A34">
        <v>120</v>
      </c>
      <c r="B34">
        <f>(A34+13.5822)/115.6017</f>
        <v>1.1555383701104742</v>
      </c>
      <c r="C34">
        <v>11881</v>
      </c>
      <c r="D34">
        <v>1882</v>
      </c>
      <c r="E34">
        <v>327</v>
      </c>
      <c r="F34">
        <v>395</v>
      </c>
      <c r="G34">
        <f>(E34+F34)/(D34-14*2)</f>
        <v>0.389428263214671</v>
      </c>
      <c r="N34">
        <v>1.05</v>
      </c>
      <c r="O34">
        <f>1.127*N34^3-3.9748*N34^2+3.8281*N34-0.4625</f>
        <v>0.4794313750000002</v>
      </c>
    </row>
    <row r="35" spans="1:15" ht="12.75">
      <c r="A35">
        <v>150</v>
      </c>
      <c r="B35">
        <f>(A35+13.5822)/115.6017</f>
        <v>1.4150501246953981</v>
      </c>
      <c r="C35">
        <v>8455</v>
      </c>
      <c r="D35">
        <v>1863</v>
      </c>
      <c r="E35">
        <v>156</v>
      </c>
      <c r="F35">
        <v>193</v>
      </c>
      <c r="G35">
        <f>(E35+F35)/(D35-14*2)</f>
        <v>0.1901907356948229</v>
      </c>
      <c r="N35">
        <v>0.87</v>
      </c>
      <c r="O35">
        <f>1.127*N35^3-3.9748*N35^2+3.8281*N35-0.4625</f>
        <v>0.6015537609999998</v>
      </c>
    </row>
    <row r="36" spans="1:7" ht="12.75">
      <c r="A36">
        <v>180</v>
      </c>
      <c r="B36">
        <f>(A36+13.5822)/115.6017</f>
        <v>1.674561879280322</v>
      </c>
      <c r="C36">
        <v>5590</v>
      </c>
      <c r="D36">
        <v>1860</v>
      </c>
      <c r="E36">
        <v>73</v>
      </c>
      <c r="F36">
        <v>99</v>
      </c>
      <c r="G36">
        <f>(E36+F36)/(D36-14*2)</f>
        <v>0.09388646288209607</v>
      </c>
    </row>
    <row r="42" spans="1:2" ht="12.75">
      <c r="A42" t="s">
        <v>11</v>
      </c>
      <c r="B42" t="s">
        <v>49</v>
      </c>
    </row>
    <row r="44" spans="1:7" ht="12.75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</row>
    <row r="45" spans="1:15" ht="12.75">
      <c r="A45">
        <v>80</v>
      </c>
      <c r="B45">
        <f aca="true" t="shared" si="1" ref="B45:B51">(A45+13.5822)/115.6017</f>
        <v>0.8095226973305756</v>
      </c>
      <c r="C45">
        <v>26630</v>
      </c>
      <c r="D45">
        <v>1816</v>
      </c>
      <c r="E45">
        <v>369</v>
      </c>
      <c r="F45">
        <v>814</v>
      </c>
      <c r="G45">
        <f aca="true" t="shared" si="2" ref="G45:G51">(E45+F45)/(D45-14*2)</f>
        <v>0.6616331096196868</v>
      </c>
      <c r="N45">
        <v>1.16</v>
      </c>
      <c r="O45">
        <f>0.5793*N45^3-2.325*N45^2+2.4556*N45-0.112</f>
        <v>0.5122030528</v>
      </c>
    </row>
    <row r="46" spans="1:15" ht="12.75">
      <c r="A46" s="1">
        <v>102</v>
      </c>
      <c r="B46">
        <f t="shared" si="1"/>
        <v>0.9998313173595198</v>
      </c>
      <c r="C46">
        <v>19587</v>
      </c>
      <c r="D46">
        <v>1868</v>
      </c>
      <c r="E46">
        <v>436</v>
      </c>
      <c r="F46">
        <v>652</v>
      </c>
      <c r="G46">
        <f t="shared" si="2"/>
        <v>0.591304347826087</v>
      </c>
      <c r="N46">
        <v>1.17</v>
      </c>
      <c r="O46">
        <f>0.5793*N46^3-2.325*N46^2+2.4556*N46-0.112</f>
        <v>0.5061739109</v>
      </c>
    </row>
    <row r="47" spans="1:15" ht="12.75">
      <c r="A47">
        <v>120</v>
      </c>
      <c r="B47">
        <f t="shared" si="1"/>
        <v>1.1555383701104742</v>
      </c>
      <c r="C47">
        <v>16491</v>
      </c>
      <c r="D47">
        <v>1841</v>
      </c>
      <c r="E47">
        <v>431</v>
      </c>
      <c r="F47">
        <v>522</v>
      </c>
      <c r="G47">
        <f t="shared" si="2"/>
        <v>0.5256480970766685</v>
      </c>
      <c r="N47" s="2">
        <v>1.18</v>
      </c>
      <c r="O47" s="2">
        <f>0.5793*N47^3-2.325*N47^2+2.4556*N47-0.112</f>
        <v>0.5000864375999999</v>
      </c>
    </row>
    <row r="48" spans="1:15" ht="12.75">
      <c r="A48">
        <v>135</v>
      </c>
      <c r="B48">
        <f t="shared" si="1"/>
        <v>1.2852942474029363</v>
      </c>
      <c r="C48">
        <v>14986</v>
      </c>
      <c r="D48">
        <v>1863</v>
      </c>
      <c r="E48">
        <v>233</v>
      </c>
      <c r="F48">
        <v>532</v>
      </c>
      <c r="G48">
        <f t="shared" si="2"/>
        <v>0.41689373297002724</v>
      </c>
      <c r="N48">
        <v>1.42</v>
      </c>
      <c r="O48">
        <f>0.5793*N48^3-2.325*N48^2+2.4556*N48-0.112</f>
        <v>0.34552473839999964</v>
      </c>
    </row>
    <row r="49" spans="1:15" ht="12.75">
      <c r="A49">
        <v>150</v>
      </c>
      <c r="B49">
        <f>(A49+13.5822)/115.6017</f>
        <v>1.4150501246953981</v>
      </c>
      <c r="C49">
        <v>12001</v>
      </c>
      <c r="D49">
        <v>1850</v>
      </c>
      <c r="E49">
        <v>316</v>
      </c>
      <c r="F49">
        <v>349</v>
      </c>
      <c r="G49">
        <f t="shared" si="2"/>
        <v>0.36498353457738747</v>
      </c>
      <c r="N49">
        <v>1.43</v>
      </c>
      <c r="O49">
        <f>0.5793*N49^3-2.325*N49^2+2.4556*N49-0.112</f>
        <v>0.3391086150999999</v>
      </c>
    </row>
    <row r="50" spans="1:7" ht="12.75">
      <c r="A50">
        <v>180</v>
      </c>
      <c r="B50">
        <f t="shared" si="1"/>
        <v>1.674561879280322</v>
      </c>
      <c r="C50">
        <v>8604</v>
      </c>
      <c r="D50">
        <v>1819</v>
      </c>
      <c r="E50">
        <v>156</v>
      </c>
      <c r="F50">
        <v>191</v>
      </c>
      <c r="G50">
        <f t="shared" si="2"/>
        <v>0.19374651032942491</v>
      </c>
    </row>
    <row r="51" spans="1:7" ht="12.75">
      <c r="A51">
        <v>210</v>
      </c>
      <c r="B51">
        <f t="shared" si="1"/>
        <v>1.934073633865246</v>
      </c>
      <c r="C51">
        <v>6239</v>
      </c>
      <c r="D51">
        <v>1818</v>
      </c>
      <c r="E51">
        <v>120</v>
      </c>
      <c r="F51">
        <v>119</v>
      </c>
      <c r="G51">
        <f t="shared" si="2"/>
        <v>0.1335195530726257</v>
      </c>
    </row>
    <row r="59" spans="1:2" ht="12.75">
      <c r="A59" t="s">
        <v>13</v>
      </c>
      <c r="B59" t="s">
        <v>56</v>
      </c>
    </row>
    <row r="61" spans="1:7" ht="12.75">
      <c r="A61" t="s">
        <v>0</v>
      </c>
      <c r="B61" t="s">
        <v>1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</row>
    <row r="62" spans="1:15" ht="12.75">
      <c r="A62">
        <v>80</v>
      </c>
      <c r="B62">
        <f aca="true" t="shared" si="3" ref="B62:B69">(A62+13.5822)/115.6017</f>
        <v>0.8095226973305756</v>
      </c>
      <c r="C62">
        <v>27833</v>
      </c>
      <c r="D62">
        <v>1852</v>
      </c>
      <c r="E62">
        <v>644</v>
      </c>
      <c r="F62">
        <v>793</v>
      </c>
      <c r="G62">
        <f aca="true" t="shared" si="4" ref="G62:G69">(E62+F62)/(D62-14*2)</f>
        <v>0.787828947368421</v>
      </c>
      <c r="N62">
        <v>1.3</v>
      </c>
      <c r="O62">
        <f>0.3636*N62^3-1.5067*N62^2+1.4307*N62+0.4198</f>
        <v>0.5322162000000001</v>
      </c>
    </row>
    <row r="63" spans="1:15" ht="12.75">
      <c r="A63">
        <v>102</v>
      </c>
      <c r="B63">
        <f t="shared" si="3"/>
        <v>0.9998313173595198</v>
      </c>
      <c r="C63">
        <v>22818</v>
      </c>
      <c r="D63">
        <v>1872</v>
      </c>
      <c r="E63">
        <v>556</v>
      </c>
      <c r="F63">
        <v>721</v>
      </c>
      <c r="G63">
        <f t="shared" si="4"/>
        <v>0.6925162689804772</v>
      </c>
      <c r="N63" s="2">
        <v>1.35</v>
      </c>
      <c r="O63" s="2">
        <f>0.3636*N63^3-1.5067*N63^2+1.4307*N63+0.4198</f>
        <v>0.4998766000000004</v>
      </c>
    </row>
    <row r="64" spans="1:15" ht="12.75">
      <c r="A64">
        <v>120</v>
      </c>
      <c r="B64">
        <f t="shared" si="3"/>
        <v>1.1555383701104742</v>
      </c>
      <c r="C64">
        <v>19454</v>
      </c>
      <c r="D64">
        <v>1859</v>
      </c>
      <c r="E64">
        <v>537</v>
      </c>
      <c r="F64">
        <v>632</v>
      </c>
      <c r="G64">
        <f t="shared" si="4"/>
        <v>0.6384489350081922</v>
      </c>
      <c r="N64">
        <v>1.25</v>
      </c>
      <c r="O64">
        <f>0.3636*N64^3-1.5067*N64^2+1.4307*N64+0.4198</f>
        <v>0.5641125</v>
      </c>
    </row>
    <row r="65" spans="1:15" ht="12.75">
      <c r="A65">
        <v>135</v>
      </c>
      <c r="B65">
        <f t="shared" si="3"/>
        <v>1.2852942474029363</v>
      </c>
      <c r="C65">
        <v>16776</v>
      </c>
      <c r="D65">
        <v>1816</v>
      </c>
      <c r="E65">
        <v>433</v>
      </c>
      <c r="F65">
        <v>513</v>
      </c>
      <c r="G65">
        <f t="shared" si="4"/>
        <v>0.529082774049217</v>
      </c>
      <c r="N65">
        <v>1.26</v>
      </c>
      <c r="O65">
        <f>0.3636*N65^3-1.5067*N65^2+1.4307*N65+0.4198</f>
        <v>0.5577817935999998</v>
      </c>
    </row>
    <row r="66" spans="1:15" ht="12.75">
      <c r="A66">
        <v>150</v>
      </c>
      <c r="B66">
        <f t="shared" si="3"/>
        <v>1.4150501246953981</v>
      </c>
      <c r="C66">
        <v>15437</v>
      </c>
      <c r="D66">
        <v>1850</v>
      </c>
      <c r="E66">
        <v>391</v>
      </c>
      <c r="F66">
        <v>469</v>
      </c>
      <c r="G66">
        <f t="shared" si="4"/>
        <v>0.47200878155872666</v>
      </c>
      <c r="N66">
        <v>1.27</v>
      </c>
      <c r="O66">
        <f>0.3636*N66^3-1.5067*N66^2+1.4307*N66+0.4198</f>
        <v>0.5514246288000002</v>
      </c>
    </row>
    <row r="67" spans="1:7" ht="12.75">
      <c r="A67">
        <v>180</v>
      </c>
      <c r="B67">
        <f>(A67+13.5822)/115.6017</f>
        <v>1.674561879280322</v>
      </c>
      <c r="C67">
        <v>11201</v>
      </c>
      <c r="D67">
        <v>1841</v>
      </c>
      <c r="E67">
        <v>217</v>
      </c>
      <c r="F67">
        <v>303</v>
      </c>
      <c r="G67">
        <f t="shared" si="4"/>
        <v>0.2868174296745725</v>
      </c>
    </row>
    <row r="68" spans="1:7" ht="12.75">
      <c r="A68">
        <v>210</v>
      </c>
      <c r="B68">
        <f t="shared" si="3"/>
        <v>1.934073633865246</v>
      </c>
      <c r="C68">
        <v>9177</v>
      </c>
      <c r="D68">
        <v>1895</v>
      </c>
      <c r="E68">
        <v>160</v>
      </c>
      <c r="F68">
        <v>188</v>
      </c>
      <c r="G68">
        <f t="shared" si="4"/>
        <v>0.18639528655597215</v>
      </c>
    </row>
    <row r="69" spans="1:7" ht="12.75">
      <c r="A69">
        <v>240</v>
      </c>
      <c r="B69">
        <f t="shared" si="3"/>
        <v>2.19358538845017</v>
      </c>
      <c r="C69">
        <v>6477</v>
      </c>
      <c r="D69">
        <v>1865</v>
      </c>
      <c r="E69">
        <v>143</v>
      </c>
      <c r="F69">
        <v>125</v>
      </c>
      <c r="G69">
        <f t="shared" si="4"/>
        <v>0.14589003810560697</v>
      </c>
    </row>
    <row r="75" spans="1:4" ht="12.75">
      <c r="A75" t="s">
        <v>17</v>
      </c>
      <c r="B75" t="s">
        <v>57</v>
      </c>
      <c r="C75" s="3"/>
      <c r="D75" s="3"/>
    </row>
    <row r="77" spans="1:7" ht="12.75">
      <c r="A77" t="s">
        <v>0</v>
      </c>
      <c r="B77" t="s">
        <v>1</v>
      </c>
      <c r="C77" t="s">
        <v>2</v>
      </c>
      <c r="D77" t="s">
        <v>3</v>
      </c>
      <c r="E77" t="s">
        <v>4</v>
      </c>
      <c r="F77" t="s">
        <v>5</v>
      </c>
      <c r="G77" t="s">
        <v>6</v>
      </c>
    </row>
    <row r="78" spans="1:15" ht="12.75">
      <c r="A78">
        <v>80</v>
      </c>
      <c r="B78">
        <f aca="true" t="shared" si="5" ref="B78:B86">(A78+13.5822)/115.6017</f>
        <v>0.8095226973305756</v>
      </c>
      <c r="C78">
        <v>35976</v>
      </c>
      <c r="D78">
        <v>1791</v>
      </c>
      <c r="E78">
        <v>682</v>
      </c>
      <c r="F78">
        <v>825</v>
      </c>
      <c r="G78">
        <f aca="true" t="shared" si="6" ref="G78:G85">(E78+F78)/(D78-14*2)</f>
        <v>0.8547929665343165</v>
      </c>
      <c r="N78" s="2">
        <v>1.68</v>
      </c>
      <c r="O78" s="2">
        <f>-0.0147*N78^3+0.0488*N78^2-0.4524*N78+1.1917</f>
        <v>0.49969912959999996</v>
      </c>
    </row>
    <row r="79" spans="1:15" ht="12.75">
      <c r="A79">
        <v>102</v>
      </c>
      <c r="B79">
        <f t="shared" si="5"/>
        <v>0.9998313173595198</v>
      </c>
      <c r="C79">
        <v>30311</v>
      </c>
      <c r="D79">
        <v>1831</v>
      </c>
      <c r="E79">
        <v>590</v>
      </c>
      <c r="F79">
        <v>771</v>
      </c>
      <c r="G79">
        <f t="shared" si="6"/>
        <v>0.754853022739878</v>
      </c>
      <c r="N79">
        <v>1.71</v>
      </c>
      <c r="O79">
        <f>-0.0147*N79^3+0.0488*N79^2-0.4524*N79+1.1917</f>
        <v>0.48728897829999995</v>
      </c>
    </row>
    <row r="80" spans="1:15" ht="12.75">
      <c r="A80">
        <v>120</v>
      </c>
      <c r="B80">
        <f t="shared" si="5"/>
        <v>1.1555383701104742</v>
      </c>
      <c r="C80">
        <v>26594</v>
      </c>
      <c r="D80">
        <v>1824</v>
      </c>
      <c r="E80">
        <v>563</v>
      </c>
      <c r="F80">
        <v>750</v>
      </c>
      <c r="G80">
        <f t="shared" si="6"/>
        <v>0.7310690423162584</v>
      </c>
      <c r="N80">
        <v>3</v>
      </c>
      <c r="O80">
        <f>-0.0147*N80^3+0.0488*N80^2-0.4524*N80+1.1917</f>
        <v>-0.1232000000000002</v>
      </c>
    </row>
    <row r="81" spans="1:15" ht="12.75">
      <c r="A81">
        <v>150</v>
      </c>
      <c r="B81">
        <f t="shared" si="5"/>
        <v>1.4150501246953981</v>
      </c>
      <c r="C81">
        <v>21211</v>
      </c>
      <c r="D81">
        <v>1841</v>
      </c>
      <c r="E81">
        <v>475</v>
      </c>
      <c r="F81">
        <v>606</v>
      </c>
      <c r="G81">
        <f t="shared" si="6"/>
        <v>0.5962493105350248</v>
      </c>
      <c r="N81">
        <v>1.49</v>
      </c>
      <c r="O81">
        <f>-0.0147*N81^3+0.0488*N81^2-0.4524*N81+1.1917</f>
        <v>0.5773380296999999</v>
      </c>
    </row>
    <row r="82" spans="1:7" ht="12.75">
      <c r="A82">
        <v>195</v>
      </c>
      <c r="B82">
        <f t="shared" si="5"/>
        <v>1.8043177565727841</v>
      </c>
      <c r="C82">
        <v>15555</v>
      </c>
      <c r="D82">
        <v>1857</v>
      </c>
      <c r="E82">
        <v>391</v>
      </c>
      <c r="F82">
        <v>470</v>
      </c>
      <c r="G82">
        <f t="shared" si="6"/>
        <v>0.47074904319300165</v>
      </c>
    </row>
    <row r="83" spans="1:7" ht="12.75">
      <c r="A83">
        <v>210</v>
      </c>
      <c r="B83">
        <f t="shared" si="5"/>
        <v>1.934073633865246</v>
      </c>
      <c r="C83">
        <v>18176</v>
      </c>
      <c r="D83">
        <v>1864</v>
      </c>
      <c r="E83">
        <v>299</v>
      </c>
      <c r="F83">
        <v>381</v>
      </c>
      <c r="G83">
        <f t="shared" si="6"/>
        <v>0.37037037037037035</v>
      </c>
    </row>
    <row r="84" spans="1:7" ht="12.75">
      <c r="A84">
        <v>240</v>
      </c>
      <c r="B84">
        <f t="shared" si="5"/>
        <v>2.19358538845017</v>
      </c>
      <c r="C84">
        <v>11252</v>
      </c>
      <c r="D84">
        <v>1761</v>
      </c>
      <c r="E84">
        <v>214</v>
      </c>
      <c r="F84">
        <v>276</v>
      </c>
      <c r="G84">
        <f t="shared" si="6"/>
        <v>0.2827466820542412</v>
      </c>
    </row>
    <row r="85" spans="1:7" ht="12.75">
      <c r="A85">
        <v>270</v>
      </c>
      <c r="B85">
        <f t="shared" si="5"/>
        <v>2.453097143035094</v>
      </c>
      <c r="C85">
        <v>8659</v>
      </c>
      <c r="D85">
        <v>1849</v>
      </c>
      <c r="E85">
        <v>115</v>
      </c>
      <c r="F85">
        <v>173</v>
      </c>
      <c r="G85">
        <f t="shared" si="6"/>
        <v>0.15815485996705106</v>
      </c>
    </row>
    <row r="86" spans="1:2" ht="12.75">
      <c r="A86">
        <v>300</v>
      </c>
      <c r="B86">
        <f t="shared" si="5"/>
        <v>2.712608897620018</v>
      </c>
    </row>
    <row r="92" spans="1:4" ht="12.75">
      <c r="A92" t="s">
        <v>16</v>
      </c>
      <c r="B92" t="s">
        <v>58</v>
      </c>
      <c r="C92" s="3"/>
      <c r="D92" s="3"/>
    </row>
    <row r="94" spans="1:7" ht="12.75">
      <c r="A94" t="s">
        <v>0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</row>
    <row r="95" spans="1:15" ht="12.75">
      <c r="A95">
        <v>102</v>
      </c>
      <c r="B95">
        <f aca="true" t="shared" si="7" ref="B95:B103">(A95+13.5822)/115.6017</f>
        <v>0.9998313173595198</v>
      </c>
      <c r="C95">
        <v>37742</v>
      </c>
      <c r="D95">
        <v>1915</v>
      </c>
      <c r="E95">
        <v>630</v>
      </c>
      <c r="F95">
        <v>901</v>
      </c>
      <c r="G95">
        <f aca="true" t="shared" si="8" ref="G95:G103">(E95+F95)/(D95-14*2)</f>
        <v>0.8113407525172232</v>
      </c>
      <c r="N95">
        <v>2.15</v>
      </c>
      <c r="O95">
        <f>-0.116*N95^5+1.4046*N95^4-6.3887*N95^3+13.579*N95^2-13.724*N95+6.0562</f>
        <v>0.5089743575000041</v>
      </c>
    </row>
    <row r="96" spans="1:15" ht="12.75">
      <c r="A96">
        <v>120</v>
      </c>
      <c r="B96">
        <f t="shared" si="7"/>
        <v>1.1555383701104742</v>
      </c>
      <c r="C96">
        <v>34963</v>
      </c>
      <c r="D96">
        <v>1855</v>
      </c>
      <c r="E96">
        <v>447</v>
      </c>
      <c r="F96">
        <v>897</v>
      </c>
      <c r="G96">
        <f t="shared" si="8"/>
        <v>0.735632183908046</v>
      </c>
      <c r="N96">
        <v>2.16</v>
      </c>
      <c r="O96">
        <f>-0.116*N96^5+1.4046*N96^4-6.3887*N96^3+13.579*N96^2-13.724*N96+6.0562</f>
        <v>0.5041048351744086</v>
      </c>
    </row>
    <row r="97" spans="1:15" ht="12.75">
      <c r="A97">
        <v>150</v>
      </c>
      <c r="B97">
        <f t="shared" si="7"/>
        <v>1.4150501246953981</v>
      </c>
      <c r="C97">
        <v>27234</v>
      </c>
      <c r="D97">
        <v>1818</v>
      </c>
      <c r="E97">
        <v>558</v>
      </c>
      <c r="F97">
        <v>696</v>
      </c>
      <c r="G97">
        <f t="shared" si="8"/>
        <v>0.7005586592178771</v>
      </c>
      <c r="N97" s="2">
        <v>2.17</v>
      </c>
      <c r="O97" s="2">
        <f>-0.116*N97^5+1.4046*N97^4-6.3887*N97^3+13.579*N97^2-13.724*N97+6.0562</f>
        <v>0.49919729732479734</v>
      </c>
    </row>
    <row r="98" spans="1:15" ht="12.75">
      <c r="A98">
        <v>180</v>
      </c>
      <c r="B98">
        <f t="shared" si="7"/>
        <v>1.674561879280322</v>
      </c>
      <c r="C98">
        <v>23154</v>
      </c>
      <c r="D98">
        <v>1834</v>
      </c>
      <c r="E98">
        <v>575</v>
      </c>
      <c r="F98">
        <v>645</v>
      </c>
      <c r="G98">
        <f t="shared" si="8"/>
        <v>0.6755260243632336</v>
      </c>
      <c r="N98">
        <v>2.22</v>
      </c>
      <c r="O98">
        <f>-0.116*N98^5+1.4046*N98^4-6.3887*N98^3+13.579*N98^2-13.724*N98+6.0562</f>
        <v>0.47416153684481355</v>
      </c>
    </row>
    <row r="99" spans="1:15" ht="12.75">
      <c r="A99">
        <v>195</v>
      </c>
      <c r="B99">
        <f t="shared" si="7"/>
        <v>1.8043177565727841</v>
      </c>
      <c r="C99">
        <v>20745</v>
      </c>
      <c r="D99">
        <v>1783</v>
      </c>
      <c r="E99">
        <v>502</v>
      </c>
      <c r="F99">
        <v>592</v>
      </c>
      <c r="G99">
        <f t="shared" si="8"/>
        <v>0.6233618233618233</v>
      </c>
      <c r="N99">
        <v>2.23</v>
      </c>
      <c r="O99">
        <f>-0.116*N99^5+1.4046*N99^4-6.3887*N99^3+13.579*N99^2-13.724*N99+6.0562</f>
        <v>0.4690696622072066</v>
      </c>
    </row>
    <row r="100" spans="1:7" ht="12.75">
      <c r="A100">
        <v>240</v>
      </c>
      <c r="B100">
        <f t="shared" si="7"/>
        <v>2.19358538845017</v>
      </c>
      <c r="C100">
        <v>15844</v>
      </c>
      <c r="D100">
        <v>1791</v>
      </c>
      <c r="E100">
        <v>410</v>
      </c>
      <c r="F100">
        <v>488</v>
      </c>
      <c r="G100">
        <f t="shared" si="8"/>
        <v>0.5093590470788428</v>
      </c>
    </row>
    <row r="101" spans="1:7" ht="12.75">
      <c r="A101">
        <v>270</v>
      </c>
      <c r="B101">
        <f t="shared" si="7"/>
        <v>2.453097143035094</v>
      </c>
      <c r="C101">
        <v>13258</v>
      </c>
      <c r="D101">
        <v>1828</v>
      </c>
      <c r="E101">
        <v>253</v>
      </c>
      <c r="F101">
        <v>331</v>
      </c>
      <c r="G101">
        <f t="shared" si="8"/>
        <v>0.3244444444444444</v>
      </c>
    </row>
    <row r="102" spans="1:7" ht="12.75">
      <c r="A102">
        <v>300</v>
      </c>
      <c r="B102">
        <f t="shared" si="7"/>
        <v>2.712608897620018</v>
      </c>
      <c r="C102">
        <v>11085</v>
      </c>
      <c r="D102">
        <v>1749</v>
      </c>
      <c r="E102">
        <v>179</v>
      </c>
      <c r="F102">
        <v>243</v>
      </c>
      <c r="G102">
        <f t="shared" si="8"/>
        <v>0.24520627542126672</v>
      </c>
    </row>
    <row r="103" spans="1:7" ht="12.75">
      <c r="A103">
        <v>330</v>
      </c>
      <c r="B103">
        <f t="shared" si="7"/>
        <v>2.972120652204942</v>
      </c>
      <c r="C103">
        <v>8892</v>
      </c>
      <c r="D103">
        <v>1848</v>
      </c>
      <c r="E103">
        <v>139</v>
      </c>
      <c r="F103">
        <v>177</v>
      </c>
      <c r="G103">
        <f t="shared" si="8"/>
        <v>0.17362637362637362</v>
      </c>
    </row>
    <row r="110" spans="1:4" ht="12.75">
      <c r="A110" t="s">
        <v>18</v>
      </c>
      <c r="B110" t="s">
        <v>59</v>
      </c>
      <c r="C110" s="3"/>
      <c r="D110" s="3"/>
    </row>
    <row r="112" spans="1:7" ht="12.75">
      <c r="A112" t="s">
        <v>0</v>
      </c>
      <c r="B112" t="s">
        <v>1</v>
      </c>
      <c r="C112" t="s">
        <v>2</v>
      </c>
      <c r="D112" t="s">
        <v>3</v>
      </c>
      <c r="E112" t="s">
        <v>4</v>
      </c>
      <c r="F112" t="s">
        <v>5</v>
      </c>
      <c r="G112" t="s">
        <v>6</v>
      </c>
    </row>
    <row r="113" spans="1:15" ht="12.75">
      <c r="A113">
        <v>102</v>
      </c>
      <c r="B113">
        <f aca="true" t="shared" si="9" ref="B113:B119">(A113+13.5822)/115.6017</f>
        <v>0.9998313173595198</v>
      </c>
      <c r="C113">
        <v>197378</v>
      </c>
      <c r="D113">
        <v>1771</v>
      </c>
      <c r="E113">
        <v>534</v>
      </c>
      <c r="F113">
        <v>952</v>
      </c>
      <c r="G113">
        <f aca="true" t="shared" si="10" ref="G113:G119">(E113+F113)/(D113-14*2)</f>
        <v>0.8525530694205393</v>
      </c>
      <c r="N113" s="2">
        <v>2.33</v>
      </c>
      <c r="O113" s="2">
        <f>0.0343*N113^4-0.2389*N113^3+0.5189*N113^2-0.6337*N113+1.1716</f>
        <v>0.501130964403</v>
      </c>
    </row>
    <row r="114" spans="1:15" ht="12.75">
      <c r="A114">
        <v>210</v>
      </c>
      <c r="B114">
        <f t="shared" si="9"/>
        <v>1.934073633865246</v>
      </c>
      <c r="C114">
        <v>172494</v>
      </c>
      <c r="D114">
        <v>1811</v>
      </c>
      <c r="E114">
        <v>482</v>
      </c>
      <c r="F114">
        <v>634</v>
      </c>
      <c r="G114">
        <f t="shared" si="10"/>
        <v>0.6259113853056646</v>
      </c>
      <c r="N114">
        <v>2.34</v>
      </c>
      <c r="O114">
        <f>0.0343*N114^4-0.2389*N114^3+0.5189*N114^2-0.6337*N114+1.1716</f>
        <v>0.4974173752479998</v>
      </c>
    </row>
    <row r="115" spans="1:15" ht="12.75">
      <c r="A115">
        <v>240</v>
      </c>
      <c r="B115">
        <f t="shared" si="9"/>
        <v>2.19358538845017</v>
      </c>
      <c r="C115">
        <v>188620</v>
      </c>
      <c r="D115">
        <v>1798</v>
      </c>
      <c r="E115">
        <v>431</v>
      </c>
      <c r="F115">
        <v>597</v>
      </c>
      <c r="G115">
        <f t="shared" si="10"/>
        <v>0.5807909604519774</v>
      </c>
      <c r="N115">
        <v>2.35</v>
      </c>
      <c r="O115">
        <f>0.0343*N115^4-0.2389*N115^3+0.5189*N115^2-0.6337*N115+1.1716</f>
        <v>0.49369752687500035</v>
      </c>
    </row>
    <row r="116" spans="1:15" ht="12.75">
      <c r="A116">
        <v>270</v>
      </c>
      <c r="B116">
        <f t="shared" si="9"/>
        <v>2.453097143035094</v>
      </c>
      <c r="C116">
        <v>203643</v>
      </c>
      <c r="D116">
        <v>1756</v>
      </c>
      <c r="E116">
        <v>324</v>
      </c>
      <c r="F116">
        <v>430</v>
      </c>
      <c r="G116">
        <f t="shared" si="10"/>
        <v>0.4363425925925926</v>
      </c>
      <c r="N116">
        <v>2.37</v>
      </c>
      <c r="O116">
        <f>0.0343*N116^4-0.2389*N116^3+0.5189*N116^2-0.6337*N116+1.1716</f>
        <v>0.4862410487229998</v>
      </c>
    </row>
    <row r="117" spans="1:7" ht="12.75">
      <c r="A117">
        <v>300</v>
      </c>
      <c r="B117">
        <f t="shared" si="9"/>
        <v>2.712608897620018</v>
      </c>
      <c r="C117">
        <v>218331</v>
      </c>
      <c r="D117">
        <v>1768</v>
      </c>
      <c r="E117">
        <v>258</v>
      </c>
      <c r="F117">
        <v>348</v>
      </c>
      <c r="G117">
        <f t="shared" si="10"/>
        <v>0.3482758620689655</v>
      </c>
    </row>
    <row r="118" spans="1:7" ht="12.75">
      <c r="A118">
        <v>330</v>
      </c>
      <c r="B118">
        <f t="shared" si="9"/>
        <v>2.972120652204942</v>
      </c>
      <c r="C118">
        <v>234854</v>
      </c>
      <c r="D118">
        <v>1880</v>
      </c>
      <c r="E118">
        <v>217</v>
      </c>
      <c r="F118">
        <v>323</v>
      </c>
      <c r="G118">
        <f t="shared" si="10"/>
        <v>0.2915766738660907</v>
      </c>
    </row>
    <row r="119" spans="1:7" ht="12.75">
      <c r="A119">
        <v>360</v>
      </c>
      <c r="B119">
        <f t="shared" si="9"/>
        <v>3.2316324067898656</v>
      </c>
      <c r="C119">
        <v>227436</v>
      </c>
      <c r="D119">
        <v>1812</v>
      </c>
      <c r="E119">
        <v>162</v>
      </c>
      <c r="F119">
        <v>222</v>
      </c>
      <c r="G119">
        <f t="shared" si="10"/>
        <v>0.21524663677130046</v>
      </c>
    </row>
    <row r="125" spans="1:2" ht="12.75">
      <c r="A125" t="s">
        <v>19</v>
      </c>
      <c r="B125" t="s">
        <v>54</v>
      </c>
    </row>
    <row r="127" spans="1:7" ht="12.75">
      <c r="A127" t="s">
        <v>0</v>
      </c>
      <c r="B127" t="s">
        <v>1</v>
      </c>
      <c r="C127" t="s">
        <v>2</v>
      </c>
      <c r="D127" t="s">
        <v>3</v>
      </c>
      <c r="E127" t="s">
        <v>4</v>
      </c>
      <c r="F127" t="s">
        <v>5</v>
      </c>
      <c r="G127" t="s">
        <v>6</v>
      </c>
    </row>
    <row r="128" spans="1:15" ht="12.75">
      <c r="A128">
        <v>102</v>
      </c>
      <c r="B128">
        <f aca="true" t="shared" si="11" ref="B128:B135">(A128+13.5822)/115.6017</f>
        <v>0.9998313173595198</v>
      </c>
      <c r="C128">
        <v>505655</v>
      </c>
      <c r="D128">
        <v>1869</v>
      </c>
      <c r="E128">
        <v>584</v>
      </c>
      <c r="F128">
        <v>1028</v>
      </c>
      <c r="G128">
        <f>(E128+F128)/(D128-14*2)</f>
        <v>0.8756110809342749</v>
      </c>
      <c r="N128">
        <v>2.3</v>
      </c>
      <c r="O128">
        <f>-0.3559*N128^2+0.8944*N128+0.3371</f>
        <v>0.5115090000000002</v>
      </c>
    </row>
    <row r="129" spans="1:15" ht="12.75">
      <c r="A129">
        <v>210</v>
      </c>
      <c r="B129">
        <f t="shared" si="11"/>
        <v>1.934073633865246</v>
      </c>
      <c r="C129">
        <v>203035</v>
      </c>
      <c r="D129">
        <v>1727</v>
      </c>
      <c r="E129">
        <v>398</v>
      </c>
      <c r="F129">
        <v>852</v>
      </c>
      <c r="G129">
        <f>(E129+F129)/(D129-14*2)</f>
        <v>0.7357268981753973</v>
      </c>
      <c r="N129" s="2">
        <v>2.32</v>
      </c>
      <c r="O129" s="2">
        <f>-0.3559*N129^2+0.8944*N129+0.3371</f>
        <v>0.4965118400000002</v>
      </c>
    </row>
    <row r="130" spans="1:15" ht="12.75">
      <c r="A130">
        <v>240</v>
      </c>
      <c r="B130">
        <f t="shared" si="11"/>
        <v>2.19358538845017</v>
      </c>
      <c r="C130">
        <v>1026929</v>
      </c>
      <c r="D130">
        <v>1852</v>
      </c>
      <c r="E130">
        <v>322</v>
      </c>
      <c r="F130">
        <v>748</v>
      </c>
      <c r="G130">
        <f>(E130+F130)/(D130-14*2)</f>
        <v>0.5866228070175439</v>
      </c>
      <c r="N130">
        <v>2.33</v>
      </c>
      <c r="O130">
        <f>-0.3559*N130^2+0.8944*N130+0.3371</f>
        <v>0.4889064899999998</v>
      </c>
    </row>
    <row r="131" spans="1:15" ht="12.75">
      <c r="A131">
        <v>270</v>
      </c>
      <c r="B131">
        <f t="shared" si="11"/>
        <v>2.453097143035094</v>
      </c>
      <c r="N131">
        <v>2.34</v>
      </c>
      <c r="O131">
        <f>-0.3559*N131^2+0.8944*N131+0.3371</f>
        <v>0.4812299599999999</v>
      </c>
    </row>
    <row r="132" spans="1:15" ht="12.75">
      <c r="A132">
        <v>300</v>
      </c>
      <c r="B132">
        <f t="shared" si="11"/>
        <v>2.712608897620018</v>
      </c>
      <c r="N132">
        <v>2.35</v>
      </c>
      <c r="O132">
        <f>-0.3559*N132^2+0.8944*N132+0.3371</f>
        <v>0.4734822499999998</v>
      </c>
    </row>
    <row r="133" spans="1:2" ht="12.75">
      <c r="A133">
        <v>330</v>
      </c>
      <c r="B133">
        <f t="shared" si="11"/>
        <v>2.972120652204942</v>
      </c>
    </row>
    <row r="134" spans="1:2" ht="12.75">
      <c r="A134">
        <v>360</v>
      </c>
      <c r="B134">
        <f t="shared" si="11"/>
        <v>3.2316324067898656</v>
      </c>
    </row>
    <row r="135" spans="1:2" ht="12.75">
      <c r="A135">
        <v>390</v>
      </c>
      <c r="B135">
        <f t="shared" si="11"/>
        <v>3.49114416137479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workbookViewId="0" topLeftCell="A81">
      <selection activeCell="G90" sqref="G90"/>
    </sheetView>
  </sheetViews>
  <sheetFormatPr defaultColWidth="9.140625" defaultRowHeight="12.75"/>
  <cols>
    <col min="1" max="1" width="10.57421875" style="0" customWidth="1"/>
  </cols>
  <sheetData>
    <row r="1" ht="12.75">
      <c r="A1" t="s">
        <v>75</v>
      </c>
    </row>
    <row r="2" spans="1:3" ht="12.75">
      <c r="A2" t="s">
        <v>69</v>
      </c>
      <c r="B2" t="s">
        <v>61</v>
      </c>
      <c r="C2" t="s">
        <v>62</v>
      </c>
    </row>
    <row r="3" spans="1:3" ht="12.75">
      <c r="A3">
        <v>40</v>
      </c>
      <c r="B3">
        <f>G18</f>
        <v>0.27658402203856747</v>
      </c>
      <c r="C3">
        <f>N17</f>
        <v>0.79</v>
      </c>
    </row>
    <row r="4" spans="1:3" ht="12.75">
      <c r="A4">
        <v>60</v>
      </c>
      <c r="B4">
        <f>G29</f>
        <v>0.5261692650334076</v>
      </c>
      <c r="C4">
        <f>N29</f>
        <v>1.02</v>
      </c>
    </row>
    <row r="5" spans="1:3" ht="12.75">
      <c r="A5">
        <v>80</v>
      </c>
      <c r="B5">
        <f>G42</f>
        <v>0.6616331096196868</v>
      </c>
      <c r="C5">
        <f>N45</f>
        <v>1.24</v>
      </c>
    </row>
    <row r="6" spans="1:3" ht="12.75">
      <c r="A6">
        <v>100</v>
      </c>
      <c r="B6">
        <f>G58</f>
        <v>0.7627906976744186</v>
      </c>
      <c r="C6">
        <f>N60</f>
        <v>1.43</v>
      </c>
    </row>
    <row r="7" spans="1:3" ht="12.75">
      <c r="A7">
        <v>150</v>
      </c>
      <c r="B7">
        <f>G74</f>
        <v>0.890452876376989</v>
      </c>
      <c r="C7">
        <f>N81</f>
        <v>1.87</v>
      </c>
    </row>
    <row r="8" spans="1:3" ht="12.75">
      <c r="A8">
        <v>200</v>
      </c>
      <c r="B8">
        <f>G90</f>
        <v>0.9563739376770538</v>
      </c>
      <c r="C8">
        <f>N93</f>
        <v>2.2399999999999993</v>
      </c>
    </row>
    <row r="9" spans="1:3" ht="12.75">
      <c r="A9">
        <v>250</v>
      </c>
      <c r="B9">
        <f>G107</f>
        <v>0.9810779816513762</v>
      </c>
      <c r="C9">
        <f>N109</f>
        <v>2.5699999999999994</v>
      </c>
    </row>
    <row r="10" ht="12.75">
      <c r="A10">
        <v>300</v>
      </c>
    </row>
    <row r="14" ht="12.75">
      <c r="A14" t="s">
        <v>7</v>
      </c>
    </row>
    <row r="16" spans="1:7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</row>
    <row r="17" spans="1:15" ht="12.75">
      <c r="A17">
        <v>80</v>
      </c>
      <c r="B17">
        <f>(A17+13.5822)/115.6017</f>
        <v>0.8095226973305756</v>
      </c>
      <c r="C17">
        <v>43567</v>
      </c>
      <c r="D17">
        <v>1924</v>
      </c>
      <c r="E17">
        <v>265</v>
      </c>
      <c r="F17">
        <v>644</v>
      </c>
      <c r="G17">
        <f>(F17+E17)/(D17-14*2)</f>
        <v>0.47943037974683544</v>
      </c>
      <c r="N17" s="2">
        <v>0.79</v>
      </c>
      <c r="O17" s="2">
        <f>-0.9517*N17^3+4.0657*N17^2-6.0767*N17+3.2392</f>
        <v>0.5067851537000001</v>
      </c>
    </row>
    <row r="18" spans="1:15" ht="12.75">
      <c r="A18" s="1">
        <v>102</v>
      </c>
      <c r="B18">
        <f>(A18+13.5822)/115.6017</f>
        <v>0.9998313173595198</v>
      </c>
      <c r="C18" s="1">
        <v>12046</v>
      </c>
      <c r="D18" s="1">
        <v>1843</v>
      </c>
      <c r="E18" s="1">
        <v>142</v>
      </c>
      <c r="F18" s="1">
        <v>360</v>
      </c>
      <c r="G18">
        <f>(F18+E18)/(D18-14*2)</f>
        <v>0.27658402203856747</v>
      </c>
      <c r="N18">
        <f>N17+0.01</f>
        <v>0.8</v>
      </c>
      <c r="O18">
        <f>-0.9517*N18^3+4.0657*N18^2-6.0767*N18+3.2392</f>
        <v>0.49261759999999954</v>
      </c>
    </row>
    <row r="19" spans="1:15" ht="12.75">
      <c r="A19">
        <v>120</v>
      </c>
      <c r="B19">
        <f>(A19+13.5822)/115.6017</f>
        <v>1.1555383701104742</v>
      </c>
      <c r="C19" s="1">
        <v>9371</v>
      </c>
      <c r="D19" s="1">
        <v>1897</v>
      </c>
      <c r="E19" s="1">
        <v>92</v>
      </c>
      <c r="F19" s="1">
        <v>240</v>
      </c>
      <c r="G19">
        <f>(F19+E19)/(D19-14*2)</f>
        <v>0.1776350989834136</v>
      </c>
      <c r="N19">
        <f>N18+0.01</f>
        <v>0.81</v>
      </c>
      <c r="O19">
        <f>-0.9517*N19^3+4.0657*N19^2-6.0767*N19+3.2392</f>
        <v>0.4788063703000005</v>
      </c>
    </row>
    <row r="20" spans="1:15" ht="12.75">
      <c r="A20">
        <v>150</v>
      </c>
      <c r="B20">
        <f>(A20+13.5822)/115.6017</f>
        <v>1.4150501246953981</v>
      </c>
      <c r="C20" s="1">
        <v>5467</v>
      </c>
      <c r="D20" s="1">
        <v>1859</v>
      </c>
      <c r="E20" s="1">
        <v>46</v>
      </c>
      <c r="F20" s="1">
        <v>109</v>
      </c>
      <c r="G20">
        <f>(F20+E20)/(D20-14*2)</f>
        <v>0.08465319497542327</v>
      </c>
      <c r="N20">
        <f>N19+0.01</f>
        <v>0.8200000000000001</v>
      </c>
      <c r="O20">
        <f>-0.9517*N20^3+4.0657*N20^2-6.0767*N20+3.2392</f>
        <v>0.4653457543999999</v>
      </c>
    </row>
    <row r="21" spans="14:15" ht="12.75">
      <c r="N21">
        <f>N20+0.01</f>
        <v>0.8300000000000001</v>
      </c>
      <c r="O21">
        <f>-0.9517*N21^3+4.0657*N21^2-6.0767*N21+3.2392</f>
        <v>0.4522300420999996</v>
      </c>
    </row>
    <row r="24" ht="12.75">
      <c r="A24" t="s">
        <v>9</v>
      </c>
    </row>
    <row r="26" spans="1:7" ht="12.75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</row>
    <row r="27" spans="1:15" ht="12.75">
      <c r="A27">
        <v>80</v>
      </c>
      <c r="B27">
        <f aca="true" t="shared" si="0" ref="B27:B32">(A27+13.5822)/115.6017</f>
        <v>0.8095226973305756</v>
      </c>
      <c r="C27">
        <v>23320</v>
      </c>
      <c r="D27">
        <v>1874</v>
      </c>
      <c r="E27">
        <v>375</v>
      </c>
      <c r="F27">
        <v>886</v>
      </c>
      <c r="G27">
        <f aca="true" t="shared" si="1" ref="G27:G32">(F27+E27)/(D27-14*2)</f>
        <v>0.6830985915492958</v>
      </c>
      <c r="N27">
        <v>1</v>
      </c>
      <c r="O27">
        <f aca="true" t="shared" si="2" ref="O27:O32">1.0474*N27^3-3.4062*N27^2+2.7576*N27+0.1221</f>
        <v>0.5209</v>
      </c>
    </row>
    <row r="28" spans="1:15" ht="12.75">
      <c r="A28">
        <v>90</v>
      </c>
      <c r="B28">
        <f t="shared" si="0"/>
        <v>0.8960266155255503</v>
      </c>
      <c r="C28">
        <v>20170</v>
      </c>
      <c r="D28">
        <v>1823</v>
      </c>
      <c r="E28">
        <v>320</v>
      </c>
      <c r="F28">
        <v>758</v>
      </c>
      <c r="G28">
        <f t="shared" si="1"/>
        <v>0.6005571030640668</v>
      </c>
      <c r="N28">
        <f>N27+0.01</f>
        <v>1.01</v>
      </c>
      <c r="O28">
        <f t="shared" si="2"/>
        <v>0.5117486473999996</v>
      </c>
    </row>
    <row r="29" spans="1:15" ht="12.75">
      <c r="A29" s="1">
        <v>102</v>
      </c>
      <c r="B29">
        <f t="shared" si="0"/>
        <v>0.9998313173595198</v>
      </c>
      <c r="C29">
        <v>17589</v>
      </c>
      <c r="D29">
        <v>1824</v>
      </c>
      <c r="E29">
        <v>271</v>
      </c>
      <c r="F29">
        <v>674</v>
      </c>
      <c r="G29">
        <f t="shared" si="1"/>
        <v>0.5261692650334076</v>
      </c>
      <c r="N29" s="2">
        <f>N28+0.01</f>
        <v>1.02</v>
      </c>
      <c r="O29" s="2">
        <f t="shared" si="2"/>
        <v>0.5025507792000002</v>
      </c>
    </row>
    <row r="30" spans="1:15" ht="12.75">
      <c r="A30">
        <v>120</v>
      </c>
      <c r="B30">
        <f t="shared" si="0"/>
        <v>1.1555383701104742</v>
      </c>
      <c r="C30">
        <v>13586</v>
      </c>
      <c r="D30">
        <v>1833</v>
      </c>
      <c r="E30">
        <v>195</v>
      </c>
      <c r="F30">
        <v>489</v>
      </c>
      <c r="G30">
        <f t="shared" si="1"/>
        <v>0.37894736842105264</v>
      </c>
      <c r="N30">
        <f>N29+0.01</f>
        <v>1.03</v>
      </c>
      <c r="O30">
        <f t="shared" si="2"/>
        <v>0.4933126798000006</v>
      </c>
    </row>
    <row r="31" spans="1:15" ht="12.75">
      <c r="A31">
        <v>150</v>
      </c>
      <c r="B31">
        <f t="shared" si="0"/>
        <v>1.4150501246953981</v>
      </c>
      <c r="C31">
        <v>9631</v>
      </c>
      <c r="D31">
        <v>1854</v>
      </c>
      <c r="E31">
        <v>83</v>
      </c>
      <c r="F31">
        <v>226</v>
      </c>
      <c r="G31">
        <f t="shared" si="1"/>
        <v>0.1692223439211391</v>
      </c>
      <c r="N31">
        <f>N30+0.01</f>
        <v>1.04</v>
      </c>
      <c r="O31">
        <f t="shared" si="2"/>
        <v>0.4840406335999997</v>
      </c>
    </row>
    <row r="32" spans="1:15" ht="12.75">
      <c r="A32">
        <v>180</v>
      </c>
      <c r="B32">
        <f t="shared" si="0"/>
        <v>1.674561879280322</v>
      </c>
      <c r="C32">
        <v>6346</v>
      </c>
      <c r="D32">
        <v>1885</v>
      </c>
      <c r="E32">
        <v>64</v>
      </c>
      <c r="F32">
        <v>135</v>
      </c>
      <c r="G32">
        <f t="shared" si="1"/>
        <v>0.10716208939149165</v>
      </c>
      <c r="N32">
        <f>N31+0.01</f>
        <v>1.05</v>
      </c>
      <c r="O32">
        <f t="shared" si="2"/>
        <v>0.4747409250000002</v>
      </c>
    </row>
    <row r="38" ht="12.75">
      <c r="A38" t="s">
        <v>11</v>
      </c>
    </row>
    <row r="40" spans="1:7" ht="12.75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</row>
    <row r="41" spans="1:15" ht="12.75">
      <c r="A41">
        <v>80</v>
      </c>
      <c r="B41">
        <f aca="true" t="shared" si="3" ref="B41:B46">(A41+13.5822)/115.6017</f>
        <v>0.8095226973305756</v>
      </c>
      <c r="C41">
        <v>27185</v>
      </c>
      <c r="D41">
        <v>1822</v>
      </c>
      <c r="E41">
        <v>420</v>
      </c>
      <c r="F41">
        <v>978</v>
      </c>
      <c r="G41">
        <f aca="true" t="shared" si="4" ref="G41:G46">(F41+E41)/(D41-14*2)</f>
        <v>0.7792642140468228</v>
      </c>
      <c r="N41">
        <v>1.2</v>
      </c>
      <c r="O41">
        <f aca="true" t="shared" si="5" ref="O41:O46">0.542*N41^3-2.0726*N41^2+1.8866*N41+0.3178</f>
        <v>0.5337520000000002</v>
      </c>
    </row>
    <row r="42" spans="1:15" ht="12.75">
      <c r="A42" s="1">
        <v>102</v>
      </c>
      <c r="B42">
        <f t="shared" si="3"/>
        <v>0.9998313173595198</v>
      </c>
      <c r="C42">
        <v>22114</v>
      </c>
      <c r="D42">
        <v>1816</v>
      </c>
      <c r="E42">
        <v>337</v>
      </c>
      <c r="F42">
        <v>846</v>
      </c>
      <c r="G42">
        <f t="shared" si="4"/>
        <v>0.6616331096196868</v>
      </c>
      <c r="N42">
        <f>N41+0.01</f>
        <v>1.21</v>
      </c>
      <c r="O42">
        <f t="shared" si="5"/>
        <v>0.5262784020000004</v>
      </c>
    </row>
    <row r="43" spans="1:15" ht="12.75">
      <c r="A43">
        <v>135</v>
      </c>
      <c r="B43">
        <f t="shared" si="3"/>
        <v>1.2852942474029363</v>
      </c>
      <c r="C43">
        <v>15404</v>
      </c>
      <c r="D43">
        <v>1764</v>
      </c>
      <c r="E43">
        <v>252</v>
      </c>
      <c r="F43">
        <v>577</v>
      </c>
      <c r="G43">
        <f t="shared" si="4"/>
        <v>0.47753456221198154</v>
      </c>
      <c r="N43">
        <f>N42+0.01</f>
        <v>1.22</v>
      </c>
      <c r="O43">
        <f t="shared" si="5"/>
        <v>0.5187837760000003</v>
      </c>
    </row>
    <row r="44" spans="1:15" ht="12.75">
      <c r="A44">
        <v>150</v>
      </c>
      <c r="B44">
        <f>(A44+13.5822)/115.6017</f>
        <v>1.4150501246953981</v>
      </c>
      <c r="C44">
        <v>13817</v>
      </c>
      <c r="D44">
        <v>1862</v>
      </c>
      <c r="E44">
        <v>212</v>
      </c>
      <c r="F44">
        <v>483</v>
      </c>
      <c r="G44">
        <f t="shared" si="4"/>
        <v>0.37895310796074155</v>
      </c>
      <c r="N44">
        <f>N43+0.01</f>
        <v>1.23</v>
      </c>
      <c r="O44">
        <f t="shared" si="5"/>
        <v>0.5112713740000001</v>
      </c>
    </row>
    <row r="45" spans="1:15" ht="12.75">
      <c r="A45">
        <v>180</v>
      </c>
      <c r="B45">
        <f t="shared" si="3"/>
        <v>1.674561879280322</v>
      </c>
      <c r="C45">
        <v>10062</v>
      </c>
      <c r="D45">
        <v>1797</v>
      </c>
      <c r="E45">
        <v>109</v>
      </c>
      <c r="F45">
        <v>245</v>
      </c>
      <c r="G45">
        <f t="shared" si="4"/>
        <v>0.20011305822498587</v>
      </c>
      <c r="N45" s="2">
        <f>N44+0.01</f>
        <v>1.24</v>
      </c>
      <c r="O45" s="2">
        <f t="shared" si="5"/>
        <v>0.503744448</v>
      </c>
    </row>
    <row r="46" spans="1:15" ht="12.75">
      <c r="A46">
        <v>210</v>
      </c>
      <c r="B46">
        <f t="shared" si="3"/>
        <v>1.934073633865246</v>
      </c>
      <c r="C46">
        <v>7127</v>
      </c>
      <c r="D46">
        <v>1822</v>
      </c>
      <c r="E46">
        <v>73</v>
      </c>
      <c r="F46">
        <v>174</v>
      </c>
      <c r="G46">
        <f t="shared" si="4"/>
        <v>0.13768115942028986</v>
      </c>
      <c r="N46">
        <f>N45+0.01</f>
        <v>1.25</v>
      </c>
      <c r="O46">
        <f t="shared" si="5"/>
        <v>0.4962062500000001</v>
      </c>
    </row>
    <row r="54" ht="12.75">
      <c r="A54" t="s">
        <v>13</v>
      </c>
    </row>
    <row r="56" spans="1:7" ht="12.7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5</v>
      </c>
      <c r="G56" t="s">
        <v>6</v>
      </c>
    </row>
    <row r="57" spans="1:15" ht="12.75">
      <c r="A57">
        <v>80</v>
      </c>
      <c r="B57">
        <f aca="true" t="shared" si="6" ref="B57:B64">(A57+13.5822)/115.6017</f>
        <v>0.8095226973305756</v>
      </c>
      <c r="C57">
        <v>31291</v>
      </c>
      <c r="D57">
        <v>1772</v>
      </c>
      <c r="E57">
        <v>441</v>
      </c>
      <c r="F57">
        <v>985</v>
      </c>
      <c r="G57">
        <f aca="true" t="shared" si="7" ref="G57:G64">(F57+E57)/(D57-14*2)</f>
        <v>0.8176605504587156</v>
      </c>
      <c r="N57">
        <v>1.4</v>
      </c>
      <c r="O57">
        <f>0.4032*N57^3-1.7249*N57^2+1.7759*N57+0.3011</f>
        <v>0.5129367999999994</v>
      </c>
    </row>
    <row r="58" spans="1:15" ht="12.75">
      <c r="A58">
        <v>102</v>
      </c>
      <c r="B58">
        <f t="shared" si="6"/>
        <v>0.9998313173595198</v>
      </c>
      <c r="C58">
        <v>25996</v>
      </c>
      <c r="D58">
        <v>1748</v>
      </c>
      <c r="E58">
        <v>395</v>
      </c>
      <c r="F58">
        <v>917</v>
      </c>
      <c r="G58">
        <f t="shared" si="7"/>
        <v>0.7627906976744186</v>
      </c>
      <c r="N58">
        <f aca="true" t="shared" si="8" ref="N58:N64">N57+0.01</f>
        <v>1.41</v>
      </c>
      <c r="O58">
        <f aca="true" t="shared" si="9" ref="O58:O64">0.4032*N58^3-1.7249*N58^2+1.7759*N58+0.3011</f>
        <v>0.5061040171999998</v>
      </c>
    </row>
    <row r="59" spans="1:15" ht="12.75">
      <c r="A59">
        <v>120</v>
      </c>
      <c r="B59">
        <f t="shared" si="6"/>
        <v>1.1555383701104742</v>
      </c>
      <c r="C59">
        <v>22094</v>
      </c>
      <c r="D59">
        <v>1802</v>
      </c>
      <c r="E59">
        <v>340</v>
      </c>
      <c r="F59">
        <v>855</v>
      </c>
      <c r="G59">
        <f t="shared" si="7"/>
        <v>0.673618940248027</v>
      </c>
      <c r="N59" s="2">
        <f t="shared" si="8"/>
        <v>1.42</v>
      </c>
      <c r="O59" s="2">
        <f t="shared" si="9"/>
        <v>0.4992673615999999</v>
      </c>
    </row>
    <row r="60" spans="1:15" ht="12.75">
      <c r="A60">
        <v>150</v>
      </c>
      <c r="B60">
        <f t="shared" si="6"/>
        <v>1.4150501246953981</v>
      </c>
      <c r="C60">
        <v>18181</v>
      </c>
      <c r="D60">
        <v>1780</v>
      </c>
      <c r="E60">
        <v>250</v>
      </c>
      <c r="F60">
        <v>627</v>
      </c>
      <c r="G60">
        <f t="shared" si="7"/>
        <v>0.5005707762557078</v>
      </c>
      <c r="N60">
        <f t="shared" si="8"/>
        <v>1.43</v>
      </c>
      <c r="O60">
        <f t="shared" si="9"/>
        <v>0.4924292524000001</v>
      </c>
    </row>
    <row r="61" spans="1:15" ht="12.75">
      <c r="A61">
        <v>165</v>
      </c>
      <c r="B61">
        <f t="shared" si="6"/>
        <v>1.5448060019878602</v>
      </c>
      <c r="C61">
        <v>14882</v>
      </c>
      <c r="D61">
        <v>1720</v>
      </c>
      <c r="E61">
        <v>190</v>
      </c>
      <c r="F61">
        <v>513</v>
      </c>
      <c r="G61">
        <f t="shared" si="7"/>
        <v>0.41548463356973997</v>
      </c>
      <c r="N61">
        <f t="shared" si="8"/>
        <v>1.44</v>
      </c>
      <c r="O61">
        <f t="shared" si="9"/>
        <v>0.48559210879999976</v>
      </c>
    </row>
    <row r="62" spans="1:15" ht="12.75">
      <c r="A62">
        <v>180</v>
      </c>
      <c r="B62">
        <f t="shared" si="6"/>
        <v>1.674561879280322</v>
      </c>
      <c r="C62">
        <v>12771</v>
      </c>
      <c r="D62">
        <v>1765</v>
      </c>
      <c r="E62">
        <v>150</v>
      </c>
      <c r="F62">
        <v>399</v>
      </c>
      <c r="G62">
        <f t="shared" si="7"/>
        <v>0.3160621761658031</v>
      </c>
      <c r="N62">
        <f t="shared" si="8"/>
        <v>1.45</v>
      </c>
      <c r="O62">
        <f t="shared" si="9"/>
        <v>0.4787583499999997</v>
      </c>
    </row>
    <row r="63" spans="1:15" ht="12.75">
      <c r="A63">
        <v>210</v>
      </c>
      <c r="B63">
        <f>(A63+13.5822)/115.6017</f>
        <v>1.934073633865246</v>
      </c>
      <c r="C63">
        <v>10264</v>
      </c>
      <c r="D63">
        <v>1760</v>
      </c>
      <c r="E63">
        <v>116</v>
      </c>
      <c r="F63">
        <v>260</v>
      </c>
      <c r="G63">
        <f t="shared" si="7"/>
        <v>0.21709006928406466</v>
      </c>
      <c r="N63">
        <f t="shared" si="8"/>
        <v>1.46</v>
      </c>
      <c r="O63">
        <f t="shared" si="9"/>
        <v>0.4719303952000003</v>
      </c>
    </row>
    <row r="64" spans="1:15" ht="12.75">
      <c r="A64">
        <v>240</v>
      </c>
      <c r="B64">
        <f t="shared" si="6"/>
        <v>2.19358538845017</v>
      </c>
      <c r="C64">
        <v>7590</v>
      </c>
      <c r="D64">
        <v>1840</v>
      </c>
      <c r="E64">
        <v>82</v>
      </c>
      <c r="F64">
        <v>184</v>
      </c>
      <c r="G64">
        <f t="shared" si="7"/>
        <v>0.1467991169977925</v>
      </c>
      <c r="N64">
        <f t="shared" si="8"/>
        <v>1.47</v>
      </c>
      <c r="O64">
        <f t="shared" si="9"/>
        <v>0.4651106635999996</v>
      </c>
    </row>
    <row r="71" spans="1:4" ht="12.75">
      <c r="A71" t="s">
        <v>17</v>
      </c>
      <c r="C71" s="3"/>
      <c r="D71" s="3"/>
    </row>
    <row r="73" spans="1:7" ht="12.75">
      <c r="A73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</row>
    <row r="74" spans="1:15" ht="12.75">
      <c r="A74">
        <v>102</v>
      </c>
      <c r="B74">
        <f aca="true" t="shared" si="10" ref="B74:B81">(A74+13.5822)/115.6017</f>
        <v>0.9998313173595198</v>
      </c>
      <c r="C74">
        <v>35215</v>
      </c>
      <c r="D74">
        <v>1662</v>
      </c>
      <c r="E74">
        <v>460</v>
      </c>
      <c r="F74">
        <v>995</v>
      </c>
      <c r="G74">
        <f>(F74+E74)/(D74-14*2)</f>
        <v>0.890452876376989</v>
      </c>
      <c r="N74">
        <v>1.8</v>
      </c>
      <c r="O74">
        <f>0.1417*N74^3-0.7729*N74^2+0.8702*N74+0.6486</f>
        <v>0.5371583999999997</v>
      </c>
    </row>
    <row r="75" spans="1:15" ht="12.75">
      <c r="A75">
        <v>150</v>
      </c>
      <c r="B75">
        <f t="shared" si="10"/>
        <v>1.4150501246953981</v>
      </c>
      <c r="C75">
        <v>25596</v>
      </c>
      <c r="D75">
        <v>1798</v>
      </c>
      <c r="E75">
        <v>388</v>
      </c>
      <c r="F75">
        <v>897</v>
      </c>
      <c r="G75">
        <f aca="true" t="shared" si="11" ref="G75:G81">(F75+E75)/(D75-14*2)</f>
        <v>0.7259887005649718</v>
      </c>
      <c r="N75">
        <f aca="true" t="shared" si="12" ref="N75:N81">N74+0.01</f>
        <v>1.81</v>
      </c>
      <c r="O75">
        <f aca="true" t="shared" si="13" ref="O75:O81">0.1417*N75^3-0.7729*N75^2+0.8702*N75+0.6486</f>
        <v>0.5318086096999998</v>
      </c>
    </row>
    <row r="76" spans="1:15" ht="12.75">
      <c r="A76">
        <v>180</v>
      </c>
      <c r="B76">
        <f t="shared" si="10"/>
        <v>1.674561879280322</v>
      </c>
      <c r="C76">
        <v>20823</v>
      </c>
      <c r="D76">
        <v>1766</v>
      </c>
      <c r="E76">
        <v>326</v>
      </c>
      <c r="F76">
        <v>720</v>
      </c>
      <c r="G76">
        <f t="shared" si="11"/>
        <v>0.6018411967779056</v>
      </c>
      <c r="N76">
        <f t="shared" si="12"/>
        <v>1.82</v>
      </c>
      <c r="O76">
        <f t="shared" si="13"/>
        <v>0.5264581255999995</v>
      </c>
    </row>
    <row r="77" spans="1:15" ht="12.75">
      <c r="A77">
        <v>195</v>
      </c>
      <c r="B77">
        <f t="shared" si="10"/>
        <v>1.8043177565727841</v>
      </c>
      <c r="C77">
        <v>18622</v>
      </c>
      <c r="D77">
        <v>1818</v>
      </c>
      <c r="E77">
        <v>294</v>
      </c>
      <c r="F77">
        <v>664</v>
      </c>
      <c r="G77">
        <f t="shared" si="11"/>
        <v>0.535195530726257</v>
      </c>
      <c r="N77">
        <f t="shared" si="12"/>
        <v>1.83</v>
      </c>
      <c r="O77">
        <f t="shared" si="13"/>
        <v>0.5211077978999995</v>
      </c>
    </row>
    <row r="78" spans="1:15" ht="12.75">
      <c r="A78">
        <v>210</v>
      </c>
      <c r="B78">
        <f t="shared" si="10"/>
        <v>1.934073633865246</v>
      </c>
      <c r="C78">
        <v>17001</v>
      </c>
      <c r="D78">
        <v>1682</v>
      </c>
      <c r="E78">
        <v>231</v>
      </c>
      <c r="F78">
        <v>556</v>
      </c>
      <c r="G78">
        <f t="shared" si="11"/>
        <v>0.4758162031438936</v>
      </c>
      <c r="N78">
        <f t="shared" si="12"/>
        <v>1.84</v>
      </c>
      <c r="O78">
        <f t="shared" si="13"/>
        <v>0.5157584767999995</v>
      </c>
    </row>
    <row r="79" spans="1:15" ht="12.75">
      <c r="A79">
        <v>240</v>
      </c>
      <c r="B79">
        <f t="shared" si="10"/>
        <v>2.19358538845017</v>
      </c>
      <c r="C79">
        <v>13650</v>
      </c>
      <c r="D79">
        <v>1744</v>
      </c>
      <c r="E79">
        <v>166</v>
      </c>
      <c r="F79">
        <v>426</v>
      </c>
      <c r="G79">
        <f t="shared" si="11"/>
        <v>0.34498834498834496</v>
      </c>
      <c r="N79">
        <f t="shared" si="12"/>
        <v>1.85</v>
      </c>
      <c r="O79">
        <f t="shared" si="13"/>
        <v>0.5104110125</v>
      </c>
    </row>
    <row r="80" spans="1:15" ht="12.75">
      <c r="A80">
        <v>270</v>
      </c>
      <c r="B80">
        <f t="shared" si="10"/>
        <v>2.453097143035094</v>
      </c>
      <c r="C80">
        <v>10792</v>
      </c>
      <c r="D80">
        <v>1745</v>
      </c>
      <c r="E80">
        <v>105</v>
      </c>
      <c r="F80">
        <v>242</v>
      </c>
      <c r="G80">
        <f t="shared" si="11"/>
        <v>0.20209668025626093</v>
      </c>
      <c r="N80">
        <f t="shared" si="12"/>
        <v>1.86</v>
      </c>
      <c r="O80">
        <f t="shared" si="13"/>
        <v>0.5050662551999995</v>
      </c>
    </row>
    <row r="81" spans="1:15" ht="12.75">
      <c r="A81">
        <v>300</v>
      </c>
      <c r="B81">
        <f t="shared" si="10"/>
        <v>2.712608897620018</v>
      </c>
      <c r="C81">
        <v>8875</v>
      </c>
      <c r="D81">
        <v>1771</v>
      </c>
      <c r="E81">
        <v>80</v>
      </c>
      <c r="F81">
        <v>197</v>
      </c>
      <c r="G81">
        <f t="shared" si="11"/>
        <v>0.1589213998852553</v>
      </c>
      <c r="N81" s="2">
        <f t="shared" si="12"/>
        <v>1.87</v>
      </c>
      <c r="O81" s="2">
        <f t="shared" si="13"/>
        <v>0.49972505509999976</v>
      </c>
    </row>
    <row r="87" spans="1:4" ht="12.75">
      <c r="A87" t="s">
        <v>16</v>
      </c>
      <c r="C87" s="3"/>
      <c r="D87" s="3"/>
    </row>
    <row r="89" spans="1:15" ht="12.75">
      <c r="A89" t="s">
        <v>0</v>
      </c>
      <c r="B89" t="s">
        <v>1</v>
      </c>
      <c r="C89" t="s">
        <v>2</v>
      </c>
      <c r="D89" t="s">
        <v>3</v>
      </c>
      <c r="E89" t="s">
        <v>4</v>
      </c>
      <c r="F89" t="s">
        <v>5</v>
      </c>
      <c r="G89" t="s">
        <v>6</v>
      </c>
      <c r="N89">
        <v>2.2</v>
      </c>
      <c r="O89">
        <f>0.0113*N89^3-0.0688*N89^2-0.2358*N89+1.247</f>
        <v>0.5155704</v>
      </c>
    </row>
    <row r="90" spans="1:15" ht="12.75">
      <c r="A90">
        <v>102</v>
      </c>
      <c r="B90">
        <f aca="true" t="shared" si="14" ref="B90:B97">(A90+13.5822)/115.6017</f>
        <v>0.9998313173595198</v>
      </c>
      <c r="C90">
        <v>44286</v>
      </c>
      <c r="D90">
        <v>1793</v>
      </c>
      <c r="E90">
        <v>557</v>
      </c>
      <c r="F90">
        <v>1131</v>
      </c>
      <c r="G90">
        <f aca="true" t="shared" si="15" ref="G90:G97">(F90+E90)/(D90-14*2)</f>
        <v>0.9563739376770538</v>
      </c>
      <c r="N90" s="1">
        <f aca="true" t="shared" si="16" ref="N90:N95">N89+0.01</f>
        <v>2.21</v>
      </c>
      <c r="O90">
        <f aca="true" t="shared" si="17" ref="O90:O95">0.0113*N90^3-0.0688*N90^2-0.2358*N90+1.247</f>
        <v>0.5118265493000002</v>
      </c>
    </row>
    <row r="91" spans="1:15" ht="12.75">
      <c r="A91">
        <v>150</v>
      </c>
      <c r="B91">
        <f t="shared" si="14"/>
        <v>1.4150501246953981</v>
      </c>
      <c r="C91">
        <v>32111</v>
      </c>
      <c r="D91">
        <v>1732</v>
      </c>
      <c r="E91">
        <v>399</v>
      </c>
      <c r="F91">
        <v>954</v>
      </c>
      <c r="G91">
        <f t="shared" si="15"/>
        <v>0.7940140845070423</v>
      </c>
      <c r="N91" s="1">
        <f t="shared" si="16"/>
        <v>2.2199999999999998</v>
      </c>
      <c r="O91">
        <f t="shared" si="17"/>
        <v>0.5080839224000002</v>
      </c>
    </row>
    <row r="92" spans="1:15" ht="12.75">
      <c r="A92">
        <v>180</v>
      </c>
      <c r="B92">
        <f t="shared" si="14"/>
        <v>1.674561879280322</v>
      </c>
      <c r="C92">
        <v>27513</v>
      </c>
      <c r="D92">
        <v>1752</v>
      </c>
      <c r="E92">
        <v>386</v>
      </c>
      <c r="F92">
        <v>864</v>
      </c>
      <c r="G92">
        <f t="shared" si="15"/>
        <v>0.7250580046403712</v>
      </c>
      <c r="N92" s="1">
        <f t="shared" si="16"/>
        <v>2.2299999999999995</v>
      </c>
      <c r="O92">
        <f t="shared" si="17"/>
        <v>0.5043425871000002</v>
      </c>
    </row>
    <row r="93" spans="1:15" ht="12.75">
      <c r="A93">
        <v>210</v>
      </c>
      <c r="B93">
        <f t="shared" si="14"/>
        <v>1.934073633865246</v>
      </c>
      <c r="C93">
        <v>23424</v>
      </c>
      <c r="D93">
        <v>1747</v>
      </c>
      <c r="E93">
        <v>334</v>
      </c>
      <c r="F93">
        <v>740</v>
      </c>
      <c r="G93">
        <f t="shared" si="15"/>
        <v>0.62478184991274</v>
      </c>
      <c r="N93" s="2">
        <f t="shared" si="16"/>
        <v>2.2399999999999993</v>
      </c>
      <c r="O93" s="2">
        <f t="shared" si="17"/>
        <v>0.5006026112000003</v>
      </c>
    </row>
    <row r="94" spans="1:15" ht="12.75">
      <c r="A94">
        <v>240</v>
      </c>
      <c r="B94">
        <f t="shared" si="14"/>
        <v>2.19358538845017</v>
      </c>
      <c r="C94">
        <v>19052</v>
      </c>
      <c r="D94">
        <v>1783</v>
      </c>
      <c r="E94">
        <v>261</v>
      </c>
      <c r="F94">
        <v>629</v>
      </c>
      <c r="G94">
        <f t="shared" si="15"/>
        <v>0.5071225071225072</v>
      </c>
      <c r="N94" s="1">
        <f t="shared" si="16"/>
        <v>2.249999999999999</v>
      </c>
      <c r="O94">
        <f t="shared" si="17"/>
        <v>0.49686406250000037</v>
      </c>
    </row>
    <row r="95" spans="1:15" ht="12.75">
      <c r="A95">
        <v>270</v>
      </c>
      <c r="B95">
        <f t="shared" si="14"/>
        <v>2.453097143035094</v>
      </c>
      <c r="C95">
        <v>16152</v>
      </c>
      <c r="D95">
        <v>1776</v>
      </c>
      <c r="E95">
        <v>215</v>
      </c>
      <c r="F95">
        <v>509</v>
      </c>
      <c r="G95">
        <f t="shared" si="15"/>
        <v>0.41418764302059496</v>
      </c>
      <c r="N95" s="1">
        <f t="shared" si="16"/>
        <v>2.259999999999999</v>
      </c>
      <c r="O95">
        <f t="shared" si="17"/>
        <v>0.4931270088000005</v>
      </c>
    </row>
    <row r="96" spans="1:7" ht="12.75">
      <c r="A96">
        <v>300</v>
      </c>
      <c r="B96">
        <f t="shared" si="14"/>
        <v>2.712608897620018</v>
      </c>
      <c r="C96">
        <v>13214</v>
      </c>
      <c r="D96">
        <v>1768</v>
      </c>
      <c r="E96">
        <v>178</v>
      </c>
      <c r="F96">
        <v>412</v>
      </c>
      <c r="G96">
        <f t="shared" si="15"/>
        <v>0.3390804597701149</v>
      </c>
    </row>
    <row r="97" spans="1:7" ht="12.75">
      <c r="A97">
        <v>330</v>
      </c>
      <c r="B97">
        <f t="shared" si="14"/>
        <v>2.972120652204942</v>
      </c>
      <c r="C97">
        <v>10769</v>
      </c>
      <c r="D97">
        <v>1725</v>
      </c>
      <c r="E97">
        <v>134</v>
      </c>
      <c r="F97">
        <v>261</v>
      </c>
      <c r="G97">
        <f t="shared" si="15"/>
        <v>0.2327637006482027</v>
      </c>
    </row>
    <row r="104" spans="1:4" ht="12.75">
      <c r="A104" t="s">
        <v>18</v>
      </c>
      <c r="C104" s="3"/>
      <c r="D104" s="3"/>
    </row>
    <row r="106" spans="1:7" ht="12.75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</row>
    <row r="107" spans="1:15" ht="12.75">
      <c r="A107">
        <v>102</v>
      </c>
      <c r="B107">
        <f aca="true" t="shared" si="18" ref="B107:B113">(A107+13.5822)/115.6017</f>
        <v>0.9998313173595198</v>
      </c>
      <c r="C107">
        <v>85212</v>
      </c>
      <c r="D107">
        <v>1772</v>
      </c>
      <c r="E107">
        <v>581</v>
      </c>
      <c r="F107">
        <v>1130</v>
      </c>
      <c r="G107">
        <f aca="true" t="shared" si="19" ref="G107:G113">(F107+E107)/(D107-14*2)</f>
        <v>0.9810779816513762</v>
      </c>
      <c r="N107">
        <v>2.55</v>
      </c>
      <c r="O107">
        <f>0.015*N107^3-0.1324*N107^2+0.0131*N107+1.0855</f>
        <v>0.506694625</v>
      </c>
    </row>
    <row r="108" spans="1:15" ht="12.75">
      <c r="A108">
        <v>210</v>
      </c>
      <c r="B108">
        <f t="shared" si="18"/>
        <v>1.934073633865246</v>
      </c>
      <c r="C108">
        <v>58689</v>
      </c>
      <c r="D108">
        <v>1729</v>
      </c>
      <c r="E108">
        <v>363</v>
      </c>
      <c r="F108">
        <v>870</v>
      </c>
      <c r="G108">
        <f t="shared" si="19"/>
        <v>0.7248677248677249</v>
      </c>
      <c r="N108" s="1">
        <f aca="true" t="shared" si="20" ref="N108:N113">N107+0.01</f>
        <v>2.5599999999999996</v>
      </c>
      <c r="O108">
        <f aca="true" t="shared" si="21" ref="O108:O113">0.015*N108^3-0.1324*N108^2+0.0131*N108+1.0855</f>
        <v>0.5029976000000003</v>
      </c>
    </row>
    <row r="109" spans="1:15" ht="12.75">
      <c r="A109">
        <v>240</v>
      </c>
      <c r="B109">
        <f t="shared" si="18"/>
        <v>2.19358538845017</v>
      </c>
      <c r="C109">
        <v>116048</v>
      </c>
      <c r="D109">
        <v>1847</v>
      </c>
      <c r="E109">
        <v>356</v>
      </c>
      <c r="F109">
        <v>811</v>
      </c>
      <c r="G109">
        <f t="shared" si="19"/>
        <v>0.6415612974161627</v>
      </c>
      <c r="N109" s="2">
        <f t="shared" si="20"/>
        <v>2.5699999999999994</v>
      </c>
      <c r="O109" s="2">
        <f t="shared" si="21"/>
        <v>0.49929713500000017</v>
      </c>
    </row>
    <row r="110" spans="1:15" ht="12.75">
      <c r="A110">
        <v>270</v>
      </c>
      <c r="B110">
        <f t="shared" si="18"/>
        <v>2.453097143035094</v>
      </c>
      <c r="C110">
        <v>84954</v>
      </c>
      <c r="D110">
        <v>1779</v>
      </c>
      <c r="E110">
        <v>282</v>
      </c>
      <c r="F110">
        <v>644</v>
      </c>
      <c r="G110">
        <f t="shared" si="19"/>
        <v>0.5288406624785836</v>
      </c>
      <c r="N110" s="1">
        <f t="shared" si="20"/>
        <v>2.579999999999999</v>
      </c>
      <c r="O110">
        <f t="shared" si="21"/>
        <v>0.4955933200000002</v>
      </c>
    </row>
    <row r="111" spans="1:15" ht="12.75">
      <c r="A111">
        <v>300</v>
      </c>
      <c r="B111">
        <f t="shared" si="18"/>
        <v>2.712608897620018</v>
      </c>
      <c r="C111">
        <v>32640</v>
      </c>
      <c r="D111">
        <v>1735</v>
      </c>
      <c r="E111">
        <v>236</v>
      </c>
      <c r="F111">
        <v>536</v>
      </c>
      <c r="G111">
        <f t="shared" si="19"/>
        <v>0.45225541886350323</v>
      </c>
      <c r="N111" s="1">
        <f t="shared" si="20"/>
        <v>2.589999999999999</v>
      </c>
      <c r="O111">
        <f t="shared" si="21"/>
        <v>0.49188624500000033</v>
      </c>
    </row>
    <row r="112" spans="1:15" ht="12.75">
      <c r="A112">
        <v>330</v>
      </c>
      <c r="B112">
        <f t="shared" si="18"/>
        <v>2.972120652204942</v>
      </c>
      <c r="C112">
        <v>31819</v>
      </c>
      <c r="D112">
        <v>1770</v>
      </c>
      <c r="E112">
        <v>185</v>
      </c>
      <c r="F112">
        <v>429</v>
      </c>
      <c r="G112">
        <f t="shared" si="19"/>
        <v>0.35246842709529275</v>
      </c>
      <c r="N112" s="1">
        <f t="shared" si="20"/>
        <v>2.5999999999999988</v>
      </c>
      <c r="O112">
        <f t="shared" si="21"/>
        <v>0.4881760000000005</v>
      </c>
    </row>
    <row r="113" spans="1:15" ht="12.75">
      <c r="A113">
        <v>360</v>
      </c>
      <c r="B113">
        <f t="shared" si="18"/>
        <v>3.2316324067898656</v>
      </c>
      <c r="C113">
        <v>24263</v>
      </c>
      <c r="D113">
        <v>1867</v>
      </c>
      <c r="E113">
        <v>136</v>
      </c>
      <c r="F113">
        <v>322</v>
      </c>
      <c r="G113">
        <f t="shared" si="19"/>
        <v>0.2490483958673192</v>
      </c>
      <c r="N113" s="1">
        <f t="shared" si="20"/>
        <v>2.6099999999999985</v>
      </c>
      <c r="O113">
        <f t="shared" si="21"/>
        <v>0.4844626750000005</v>
      </c>
    </row>
    <row r="119" ht="12.75">
      <c r="A119" t="s">
        <v>19</v>
      </c>
    </row>
    <row r="121" spans="1:7" ht="12.75">
      <c r="A121" t="s">
        <v>0</v>
      </c>
      <c r="B121" t="s">
        <v>1</v>
      </c>
      <c r="C121" t="s">
        <v>2</v>
      </c>
      <c r="D121" t="s">
        <v>3</v>
      </c>
      <c r="E121" t="s">
        <v>4</v>
      </c>
      <c r="F121" t="s">
        <v>5</v>
      </c>
      <c r="G121" t="s">
        <v>6</v>
      </c>
    </row>
    <row r="122" spans="1:2" ht="12.75">
      <c r="A122">
        <v>102</v>
      </c>
      <c r="B122">
        <f aca="true" t="shared" si="22" ref="B122:B129">(A122+13.5822)/115.6017</f>
        <v>0.9998313173595198</v>
      </c>
    </row>
    <row r="123" spans="1:2" ht="12.75">
      <c r="A123">
        <v>210</v>
      </c>
      <c r="B123">
        <f t="shared" si="22"/>
        <v>1.934073633865246</v>
      </c>
    </row>
    <row r="124" spans="1:2" ht="12.75">
      <c r="A124">
        <v>240</v>
      </c>
      <c r="B124">
        <f t="shared" si="22"/>
        <v>2.19358538845017</v>
      </c>
    </row>
    <row r="125" spans="1:2" ht="12.75">
      <c r="A125">
        <v>270</v>
      </c>
      <c r="B125">
        <f t="shared" si="22"/>
        <v>2.453097143035094</v>
      </c>
    </row>
    <row r="126" spans="1:2" ht="12.75">
      <c r="A126">
        <v>300</v>
      </c>
      <c r="B126">
        <f t="shared" si="22"/>
        <v>2.712608897620018</v>
      </c>
    </row>
    <row r="127" spans="1:2" ht="12.75">
      <c r="A127">
        <v>330</v>
      </c>
      <c r="B127">
        <f t="shared" si="22"/>
        <v>2.972120652204942</v>
      </c>
    </row>
    <row r="128" spans="1:2" ht="12.75">
      <c r="A128">
        <v>360</v>
      </c>
      <c r="B128">
        <f t="shared" si="22"/>
        <v>3.2316324067898656</v>
      </c>
    </row>
    <row r="129" spans="1:2" ht="12.75">
      <c r="A129">
        <v>390</v>
      </c>
      <c r="B129">
        <f t="shared" si="22"/>
        <v>3.49114416137479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1"/>
  <sheetViews>
    <sheetView workbookViewId="0" topLeftCell="A84">
      <selection activeCell="G92" sqref="G92"/>
    </sheetView>
  </sheetViews>
  <sheetFormatPr defaultColWidth="9.140625" defaultRowHeight="12.75"/>
  <cols>
    <col min="1" max="1" width="10.140625" style="0" customWidth="1"/>
  </cols>
  <sheetData>
    <row r="1" ht="12.75">
      <c r="A1" t="s">
        <v>81</v>
      </c>
    </row>
    <row r="2" spans="1:3" ht="12.75">
      <c r="A2" t="s">
        <v>69</v>
      </c>
      <c r="B2" t="s">
        <v>45</v>
      </c>
      <c r="C2" t="s">
        <v>62</v>
      </c>
    </row>
    <row r="3" spans="1:3" ht="12.75">
      <c r="A3">
        <v>40</v>
      </c>
      <c r="B3">
        <f>G19</f>
        <v>0.2101038715769594</v>
      </c>
      <c r="C3">
        <f>N18</f>
        <v>0.76</v>
      </c>
    </row>
    <row r="4" spans="1:3" ht="12.75">
      <c r="A4">
        <v>60</v>
      </c>
      <c r="B4">
        <f>G30</f>
        <v>0.48726738491674826</v>
      </c>
      <c r="C4">
        <f>N27</f>
        <v>0.96</v>
      </c>
    </row>
    <row r="5" spans="1:3" ht="12.75">
      <c r="A5">
        <v>80</v>
      </c>
      <c r="B5">
        <f>G44</f>
        <v>0.6061757719714964</v>
      </c>
      <c r="C5">
        <f>N47</f>
        <v>1.1600000000000001</v>
      </c>
    </row>
    <row r="6" spans="1:3" ht="12.75">
      <c r="A6">
        <v>100</v>
      </c>
      <c r="B6">
        <f>G60</f>
        <v>0.6689965052421368</v>
      </c>
      <c r="C6">
        <f>N63</f>
        <v>1.34</v>
      </c>
    </row>
    <row r="7" spans="1:3" ht="12.75">
      <c r="A7">
        <v>150</v>
      </c>
      <c r="B7">
        <f>G76</f>
        <v>0.7934044616876819</v>
      </c>
      <c r="C7">
        <f>N81</f>
        <v>1.72</v>
      </c>
    </row>
    <row r="8" spans="1:3" ht="12.75">
      <c r="A8">
        <v>200</v>
      </c>
      <c r="B8">
        <f>G92</f>
        <v>0.8823529411764706</v>
      </c>
      <c r="C8">
        <f>N94</f>
        <v>2.0899999999999994</v>
      </c>
    </row>
    <row r="9" spans="1:3" ht="12.75">
      <c r="A9">
        <v>250</v>
      </c>
      <c r="B9">
        <f>G109</f>
        <v>0.9530720851475568</v>
      </c>
      <c r="C9">
        <f>N111</f>
        <v>2.2999999999999994</v>
      </c>
    </row>
    <row r="10" ht="12.75">
      <c r="A10">
        <v>300</v>
      </c>
    </row>
    <row r="14" spans="1:2" ht="12.75">
      <c r="A14" t="s">
        <v>7</v>
      </c>
      <c r="B14" t="s">
        <v>76</v>
      </c>
    </row>
    <row r="16" spans="1:7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</row>
    <row r="17" spans="1:15" ht="12.75">
      <c r="A17">
        <v>80</v>
      </c>
      <c r="B17">
        <f>(A17+13.5822)/115.6017</f>
        <v>0.8095226973305756</v>
      </c>
      <c r="C17">
        <v>16131</v>
      </c>
      <c r="D17">
        <v>2213</v>
      </c>
      <c r="E17">
        <v>263</v>
      </c>
      <c r="F17">
        <v>642</v>
      </c>
      <c r="G17">
        <f>(E17+F17)/(D17-14*2)</f>
        <v>0.41418764302059496</v>
      </c>
      <c r="N17">
        <v>0.75</v>
      </c>
      <c r="O17">
        <f>-1.5317*N17^3+6.2445*N17^2-8.6275*N17+4.1152</f>
        <v>0.5109203125000001</v>
      </c>
    </row>
    <row r="18" spans="1:15" ht="12.75">
      <c r="A18">
        <v>90</v>
      </c>
      <c r="B18">
        <f>(A18+13.5822)/115.6017</f>
        <v>0.8960266155255503</v>
      </c>
      <c r="C18">
        <v>12763</v>
      </c>
      <c r="D18">
        <v>2165</v>
      </c>
      <c r="E18">
        <v>181</v>
      </c>
      <c r="F18">
        <v>431</v>
      </c>
      <c r="G18">
        <f>(E18+F18)/(D18-14*2)</f>
        <v>0.2863827795975667</v>
      </c>
      <c r="N18" s="2">
        <f>N17+0.01</f>
        <v>0.76</v>
      </c>
      <c r="O18" s="2">
        <f>-1.5317*N18^3+6.2445*N18^2-8.6275*N18+4.1152</f>
        <v>0.4927436608000004</v>
      </c>
    </row>
    <row r="19" spans="1:15" ht="12.75">
      <c r="A19" s="1">
        <v>102</v>
      </c>
      <c r="B19">
        <f>(A19+13.5822)/115.6017</f>
        <v>0.9998313173595198</v>
      </c>
      <c r="C19" s="1">
        <v>10311</v>
      </c>
      <c r="D19" s="1">
        <v>2146</v>
      </c>
      <c r="E19" s="1">
        <v>124</v>
      </c>
      <c r="F19" s="1">
        <v>321</v>
      </c>
      <c r="G19">
        <f>(E19+F19)/(D19-14*2)</f>
        <v>0.2101038715769594</v>
      </c>
      <c r="N19">
        <f>N18+0.01</f>
        <v>0.77</v>
      </c>
      <c r="O19">
        <f>-1.5317*N19^3+6.2445*N19^2-8.6275*N19+4.1152</f>
        <v>0.47511745390000026</v>
      </c>
    </row>
    <row r="20" spans="1:15" ht="12.75">
      <c r="A20">
        <v>120</v>
      </c>
      <c r="B20">
        <f>(A20+13.5822)/115.6017</f>
        <v>1.1555383701104742</v>
      </c>
      <c r="C20" s="1">
        <v>7516</v>
      </c>
      <c r="D20" s="1">
        <v>2109</v>
      </c>
      <c r="E20" s="1">
        <v>75</v>
      </c>
      <c r="F20" s="1">
        <v>169</v>
      </c>
      <c r="G20">
        <f>(E20+F20)/(D20-14*2)</f>
        <v>0.11725132148005767</v>
      </c>
      <c r="N20">
        <f>N19+0.01</f>
        <v>0.78</v>
      </c>
      <c r="O20">
        <f>-1.5317*N20^3+6.2445*N20^2-8.6275*N20+4.1152</f>
        <v>0.4580325016</v>
      </c>
    </row>
    <row r="21" spans="1:15" ht="12.75">
      <c r="A21">
        <v>150</v>
      </c>
      <c r="B21">
        <f>(A21+13.5822)/115.6017</f>
        <v>1.4150501246953981</v>
      </c>
      <c r="C21" s="1">
        <v>5021</v>
      </c>
      <c r="D21" s="1">
        <v>2097</v>
      </c>
      <c r="E21" s="1">
        <v>45</v>
      </c>
      <c r="F21" s="1">
        <v>102</v>
      </c>
      <c r="G21">
        <f>(E21+F21)/(D21-14*2)</f>
        <v>0.07104881585306912</v>
      </c>
      <c r="N21">
        <f>N20+0.01</f>
        <v>0.79</v>
      </c>
      <c r="O21">
        <f>-1.5317*N21^3+6.2445*N21^2-8.6275*N21+4.1152</f>
        <v>0.4414796137000008</v>
      </c>
    </row>
    <row r="25" spans="1:2" ht="12.75">
      <c r="A25" t="s">
        <v>9</v>
      </c>
      <c r="B25" t="s">
        <v>77</v>
      </c>
    </row>
    <row r="27" spans="1:15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N27" s="2">
        <v>0.96</v>
      </c>
      <c r="O27" s="2">
        <f>0.1599*N27^3-0.11*N27^2-1.1546*N27+1.5717</f>
        <v>0.5033772863999999</v>
      </c>
    </row>
    <row r="28" spans="1:15" ht="12.75">
      <c r="A28">
        <v>80</v>
      </c>
      <c r="B28">
        <f aca="true" t="shared" si="0" ref="B28:B33">(A28+13.5822)/115.6017</f>
        <v>0.8095226973305756</v>
      </c>
      <c r="C28">
        <v>22166</v>
      </c>
      <c r="D28">
        <v>2107</v>
      </c>
      <c r="E28">
        <v>427</v>
      </c>
      <c r="F28">
        <v>922</v>
      </c>
      <c r="G28">
        <f aca="true" t="shared" si="1" ref="G28:G33">(E28+F28)/(D28-14*2)</f>
        <v>0.6488696488696488</v>
      </c>
      <c r="N28">
        <f aca="true" t="shared" si="2" ref="N28:N33">N27+0.01</f>
        <v>0.97</v>
      </c>
      <c r="O28">
        <f aca="true" t="shared" si="3" ref="O28:O33">0.1599*N28^3-0.11*N28^2-1.1546*N28+1.5717</f>
        <v>0.4941754127</v>
      </c>
    </row>
    <row r="29" spans="1:15" ht="12.75">
      <c r="A29">
        <v>90</v>
      </c>
      <c r="B29">
        <f t="shared" si="0"/>
        <v>0.8960266155255503</v>
      </c>
      <c r="C29">
        <v>19569</v>
      </c>
      <c r="D29">
        <v>2144</v>
      </c>
      <c r="E29">
        <v>349</v>
      </c>
      <c r="F29">
        <v>830</v>
      </c>
      <c r="G29">
        <f t="shared" si="1"/>
        <v>0.5571833648393195</v>
      </c>
      <c r="N29">
        <f t="shared" si="2"/>
        <v>0.98</v>
      </c>
      <c r="O29">
        <f t="shared" si="3"/>
        <v>0.4850446008</v>
      </c>
    </row>
    <row r="30" spans="1:15" ht="12.75">
      <c r="A30" s="1">
        <v>102</v>
      </c>
      <c r="B30">
        <f t="shared" si="0"/>
        <v>0.9998313173595198</v>
      </c>
      <c r="C30">
        <v>16898</v>
      </c>
      <c r="D30">
        <v>2070</v>
      </c>
      <c r="E30">
        <v>314</v>
      </c>
      <c r="F30">
        <v>681</v>
      </c>
      <c r="G30">
        <f t="shared" si="1"/>
        <v>0.48726738491674826</v>
      </c>
      <c r="N30">
        <f t="shared" si="2"/>
        <v>0.99</v>
      </c>
      <c r="O30">
        <f t="shared" si="3"/>
        <v>0.4759858101000001</v>
      </c>
    </row>
    <row r="31" spans="1:15" ht="12.75">
      <c r="A31">
        <v>120</v>
      </c>
      <c r="B31">
        <f t="shared" si="0"/>
        <v>1.1555383701104742</v>
      </c>
      <c r="C31">
        <v>13071</v>
      </c>
      <c r="D31">
        <v>2053</v>
      </c>
      <c r="E31">
        <v>200</v>
      </c>
      <c r="F31">
        <v>447</v>
      </c>
      <c r="G31">
        <f t="shared" si="1"/>
        <v>0.31950617283950616</v>
      </c>
      <c r="N31">
        <f t="shared" si="2"/>
        <v>1</v>
      </c>
      <c r="O31">
        <f t="shared" si="3"/>
        <v>0.4670000000000001</v>
      </c>
    </row>
    <row r="32" spans="1:15" ht="12.75">
      <c r="A32">
        <v>150</v>
      </c>
      <c r="B32">
        <f t="shared" si="0"/>
        <v>1.4150501246953981</v>
      </c>
      <c r="C32">
        <v>9046</v>
      </c>
      <c r="D32">
        <v>2104</v>
      </c>
      <c r="E32">
        <v>118</v>
      </c>
      <c r="F32">
        <v>251</v>
      </c>
      <c r="G32">
        <f t="shared" si="1"/>
        <v>0.1777456647398844</v>
      </c>
      <c r="N32">
        <f t="shared" si="2"/>
        <v>1.01</v>
      </c>
      <c r="O32">
        <f t="shared" si="3"/>
        <v>0.4580881298999999</v>
      </c>
    </row>
    <row r="33" spans="1:15" ht="12.75">
      <c r="A33">
        <v>180</v>
      </c>
      <c r="B33">
        <f t="shared" si="0"/>
        <v>1.674561879280322</v>
      </c>
      <c r="C33">
        <v>6206</v>
      </c>
      <c r="D33">
        <v>2183</v>
      </c>
      <c r="E33">
        <v>59</v>
      </c>
      <c r="F33">
        <v>112</v>
      </c>
      <c r="G33">
        <f t="shared" si="1"/>
        <v>0.07935034802784223</v>
      </c>
      <c r="N33">
        <f t="shared" si="2"/>
        <v>1.02</v>
      </c>
      <c r="O33">
        <f t="shared" si="3"/>
        <v>0.4492511591999999</v>
      </c>
    </row>
    <row r="39" ht="12.75">
      <c r="A39" t="s">
        <v>11</v>
      </c>
    </row>
    <row r="41" spans="1:15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N41">
        <v>1.1</v>
      </c>
      <c r="O41">
        <f>0.4785*N41^3-1.7244*N41^2+1.3451*N41+0.5102</f>
        <v>0.5401695</v>
      </c>
    </row>
    <row r="42" spans="1:15" ht="12.75">
      <c r="A42">
        <v>80</v>
      </c>
      <c r="B42">
        <f aca="true" t="shared" si="4" ref="B42:B48">(A42+13.5822)/115.6017</f>
        <v>0.8095226973305756</v>
      </c>
      <c r="C42">
        <v>26930</v>
      </c>
      <c r="D42">
        <v>2264</v>
      </c>
      <c r="E42">
        <v>523</v>
      </c>
      <c r="F42">
        <v>1086</v>
      </c>
      <c r="G42">
        <f aca="true" t="shared" si="5" ref="G42:G48">(E42+F42)/(D42-14*2)</f>
        <v>0.7195885509838998</v>
      </c>
      <c r="N42">
        <f aca="true" t="shared" si="6" ref="N42:N47">N41+0.01</f>
        <v>1.11</v>
      </c>
      <c r="O42">
        <f aca="true" t="shared" si="7" ref="O42:O47">0.4785*N42^3-1.7244*N42^2+1.3451*N42+0.5102</f>
        <v>0.5330391935000001</v>
      </c>
    </row>
    <row r="43" spans="1:15" ht="12.75">
      <c r="A43">
        <v>90</v>
      </c>
      <c r="B43">
        <f t="shared" si="4"/>
        <v>0.8960266155255503</v>
      </c>
      <c r="C43">
        <v>24309</v>
      </c>
      <c r="D43">
        <v>2138</v>
      </c>
      <c r="E43">
        <v>444</v>
      </c>
      <c r="F43">
        <v>990</v>
      </c>
      <c r="G43">
        <f t="shared" si="5"/>
        <v>0.6796208530805687</v>
      </c>
      <c r="N43">
        <f t="shared" si="6"/>
        <v>1.12</v>
      </c>
      <c r="O43">
        <f t="shared" si="7"/>
        <v>0.5258826880000003</v>
      </c>
    </row>
    <row r="44" spans="1:15" ht="12.75">
      <c r="A44" s="1">
        <v>102</v>
      </c>
      <c r="B44">
        <f t="shared" si="4"/>
        <v>0.9998313173595198</v>
      </c>
      <c r="C44">
        <v>21852</v>
      </c>
      <c r="D44">
        <v>2133</v>
      </c>
      <c r="E44">
        <v>412</v>
      </c>
      <c r="F44">
        <v>864</v>
      </c>
      <c r="G44">
        <f t="shared" si="5"/>
        <v>0.6061757719714964</v>
      </c>
      <c r="N44">
        <f t="shared" si="6"/>
        <v>1.1300000000000001</v>
      </c>
      <c r="O44">
        <f t="shared" si="7"/>
        <v>0.5187028544999999</v>
      </c>
    </row>
    <row r="45" spans="1:15" ht="12.75">
      <c r="A45">
        <v>120</v>
      </c>
      <c r="B45">
        <f t="shared" si="4"/>
        <v>1.1555383701104742</v>
      </c>
      <c r="C45">
        <v>18274</v>
      </c>
      <c r="D45">
        <v>2216</v>
      </c>
      <c r="E45">
        <v>347</v>
      </c>
      <c r="F45">
        <v>764</v>
      </c>
      <c r="G45">
        <f t="shared" si="5"/>
        <v>0.5077696526508226</v>
      </c>
      <c r="N45">
        <f t="shared" si="6"/>
        <v>1.1400000000000001</v>
      </c>
      <c r="O45">
        <f t="shared" si="7"/>
        <v>0.5115025639999995</v>
      </c>
    </row>
    <row r="46" spans="1:15" ht="12.75">
      <c r="A46">
        <v>150</v>
      </c>
      <c r="B46">
        <f>(A46+13.5822)/115.6017</f>
        <v>1.4150501246953981</v>
      </c>
      <c r="C46">
        <v>12847</v>
      </c>
      <c r="D46">
        <v>2085</v>
      </c>
      <c r="E46">
        <v>192</v>
      </c>
      <c r="F46">
        <v>433</v>
      </c>
      <c r="G46">
        <f t="shared" si="5"/>
        <v>0.3038405444822557</v>
      </c>
      <c r="N46">
        <f t="shared" si="6"/>
        <v>1.1500000000000001</v>
      </c>
      <c r="O46">
        <f t="shared" si="7"/>
        <v>0.5042846874999998</v>
      </c>
    </row>
    <row r="47" spans="1:15" ht="12.75">
      <c r="A47">
        <v>180</v>
      </c>
      <c r="B47">
        <f t="shared" si="4"/>
        <v>1.674561879280322</v>
      </c>
      <c r="C47">
        <v>9214</v>
      </c>
      <c r="D47">
        <v>2187</v>
      </c>
      <c r="E47">
        <v>138</v>
      </c>
      <c r="F47">
        <v>256</v>
      </c>
      <c r="G47">
        <f t="shared" si="5"/>
        <v>0.1824918943955535</v>
      </c>
      <c r="N47" s="2">
        <f t="shared" si="6"/>
        <v>1.1600000000000001</v>
      </c>
      <c r="O47" s="2">
        <f t="shared" si="7"/>
        <v>0.4970520960000002</v>
      </c>
    </row>
    <row r="48" spans="1:7" ht="12.75">
      <c r="A48">
        <v>210</v>
      </c>
      <c r="B48">
        <f t="shared" si="4"/>
        <v>1.934073633865246</v>
      </c>
      <c r="C48">
        <v>6784</v>
      </c>
      <c r="D48">
        <v>2081</v>
      </c>
      <c r="E48">
        <v>82</v>
      </c>
      <c r="F48">
        <v>165</v>
      </c>
      <c r="G48">
        <f t="shared" si="5"/>
        <v>0.12031173891865563</v>
      </c>
    </row>
    <row r="56" ht="12.75">
      <c r="A56" t="s">
        <v>13</v>
      </c>
    </row>
    <row r="58" spans="1:7" ht="12.75">
      <c r="A58" t="s">
        <v>0</v>
      </c>
      <c r="B58" t="s">
        <v>1</v>
      </c>
      <c r="C58" t="s">
        <v>2</v>
      </c>
      <c r="D58" t="s">
        <v>3</v>
      </c>
      <c r="E58" t="s">
        <v>4</v>
      </c>
      <c r="F58" t="s">
        <v>5</v>
      </c>
      <c r="G58" t="s">
        <v>6</v>
      </c>
    </row>
    <row r="59" spans="1:15" ht="12.75">
      <c r="A59">
        <v>80</v>
      </c>
      <c r="B59">
        <f aca="true" t="shared" si="8" ref="B59:B64">(A59+13.5822)/115.6017</f>
        <v>0.8095226973305756</v>
      </c>
      <c r="C59">
        <v>30435</v>
      </c>
      <c r="D59">
        <v>2156</v>
      </c>
      <c r="E59">
        <v>502</v>
      </c>
      <c r="F59">
        <v>1087</v>
      </c>
      <c r="G59">
        <f aca="true" t="shared" si="9" ref="G59:G65">(E59+F59)/(D59-14*2)</f>
        <v>0.7467105263157895</v>
      </c>
      <c r="N59">
        <v>1.3</v>
      </c>
      <c r="O59">
        <f>0.379*N59^3-1.6431*N59^2+1.7366*N59+0.2113</f>
        <v>0.5247039999999998</v>
      </c>
    </row>
    <row r="60" spans="1:15" ht="12.75">
      <c r="A60">
        <v>102</v>
      </c>
      <c r="B60">
        <f t="shared" si="8"/>
        <v>0.9998313173595198</v>
      </c>
      <c r="C60">
        <v>26305</v>
      </c>
      <c r="D60">
        <v>2031</v>
      </c>
      <c r="E60">
        <v>452</v>
      </c>
      <c r="F60">
        <v>888</v>
      </c>
      <c r="G60">
        <f t="shared" si="9"/>
        <v>0.6689965052421368</v>
      </c>
      <c r="N60" s="1">
        <f aca="true" t="shared" si="10" ref="N60:N65">N59+0.01</f>
        <v>1.31</v>
      </c>
      <c r="O60">
        <f aca="true" t="shared" si="11" ref="O60:O65">0.379*N60^3-1.6431*N60^2+1.7366*N60+0.2113</f>
        <v>0.5185485789999997</v>
      </c>
    </row>
    <row r="61" spans="1:15" ht="12.75">
      <c r="A61">
        <v>120</v>
      </c>
      <c r="B61">
        <f t="shared" si="8"/>
        <v>1.1555383701104742</v>
      </c>
      <c r="C61">
        <v>22272</v>
      </c>
      <c r="D61">
        <v>2125</v>
      </c>
      <c r="E61">
        <v>421</v>
      </c>
      <c r="F61">
        <v>868</v>
      </c>
      <c r="G61">
        <f t="shared" si="9"/>
        <v>0.614687649022413</v>
      </c>
      <c r="N61" s="1">
        <f t="shared" si="10"/>
        <v>1.32</v>
      </c>
      <c r="O61">
        <f t="shared" si="11"/>
        <v>0.5123624319999995</v>
      </c>
    </row>
    <row r="62" spans="1:15" ht="12.75">
      <c r="A62">
        <v>150</v>
      </c>
      <c r="B62">
        <f t="shared" si="8"/>
        <v>1.4150501246953981</v>
      </c>
      <c r="C62">
        <v>16271</v>
      </c>
      <c r="D62">
        <v>2129</v>
      </c>
      <c r="E62">
        <v>311</v>
      </c>
      <c r="F62">
        <v>669</v>
      </c>
      <c r="G62">
        <f t="shared" si="9"/>
        <v>0.46644455021418374</v>
      </c>
      <c r="N62" s="1">
        <f t="shared" si="10"/>
        <v>1.33</v>
      </c>
      <c r="O62">
        <f t="shared" si="11"/>
        <v>0.5061478329999995</v>
      </c>
    </row>
    <row r="63" spans="1:15" ht="12.75">
      <c r="A63">
        <v>180</v>
      </c>
      <c r="B63">
        <f t="shared" si="8"/>
        <v>1.674561879280322</v>
      </c>
      <c r="C63">
        <v>12295</v>
      </c>
      <c r="D63">
        <v>2133</v>
      </c>
      <c r="E63">
        <v>182</v>
      </c>
      <c r="F63">
        <v>396</v>
      </c>
      <c r="G63">
        <f t="shared" si="9"/>
        <v>0.27458432304038005</v>
      </c>
      <c r="N63" s="2">
        <f t="shared" si="10"/>
        <v>1.34</v>
      </c>
      <c r="O63" s="2">
        <f t="shared" si="11"/>
        <v>0.49990705599999913</v>
      </c>
    </row>
    <row r="64" spans="1:15" ht="12.75">
      <c r="A64">
        <v>210</v>
      </c>
      <c r="B64">
        <f t="shared" si="8"/>
        <v>1.934073633865246</v>
      </c>
      <c r="C64">
        <v>9292</v>
      </c>
      <c r="D64">
        <v>2029</v>
      </c>
      <c r="E64">
        <v>109</v>
      </c>
      <c r="F64">
        <v>237</v>
      </c>
      <c r="G64">
        <f t="shared" si="9"/>
        <v>0.1729135432283858</v>
      </c>
      <c r="N64" s="1">
        <f t="shared" si="10"/>
        <v>1.35</v>
      </c>
      <c r="O64">
        <f t="shared" si="11"/>
        <v>0.4936423749999998</v>
      </c>
    </row>
    <row r="65" spans="1:15" ht="12.75">
      <c r="A65">
        <v>240</v>
      </c>
      <c r="B65">
        <f>(A65+13.5822)/115.6017</f>
        <v>2.19358538845017</v>
      </c>
      <c r="C65">
        <v>7193</v>
      </c>
      <c r="D65">
        <v>2063</v>
      </c>
      <c r="E65">
        <v>73</v>
      </c>
      <c r="F65">
        <v>158</v>
      </c>
      <c r="G65">
        <f t="shared" si="9"/>
        <v>0.11351351351351352</v>
      </c>
      <c r="N65" s="1">
        <f t="shared" si="10"/>
        <v>1.36</v>
      </c>
      <c r="O65">
        <f t="shared" si="11"/>
        <v>0.4873560639999996</v>
      </c>
    </row>
    <row r="73" spans="1:4" ht="12.75">
      <c r="A73" t="s">
        <v>17</v>
      </c>
      <c r="C73" s="3"/>
      <c r="D73" s="3"/>
    </row>
    <row r="75" spans="1:7" ht="12.75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</row>
    <row r="76" spans="1:15" ht="12.75">
      <c r="A76">
        <v>102</v>
      </c>
      <c r="B76">
        <f aca="true" t="shared" si="12" ref="B76:B83">(A76+13.5822)/115.6017</f>
        <v>0.9998313173595198</v>
      </c>
      <c r="C76">
        <v>33437</v>
      </c>
      <c r="D76">
        <v>2090</v>
      </c>
      <c r="E76">
        <v>547</v>
      </c>
      <c r="F76">
        <v>1089</v>
      </c>
      <c r="G76">
        <f aca="true" t="shared" si="13" ref="G76:G83">(E76+F76)/(D76-14*2)</f>
        <v>0.7934044616876819</v>
      </c>
      <c r="N76">
        <v>1.67</v>
      </c>
      <c r="O76">
        <f>0.1123*N76^3-0.5886*N76^2+0.5479*N76+0.7293</f>
        <v>0.5257795549</v>
      </c>
    </row>
    <row r="77" spans="1:15" ht="12.75">
      <c r="A77">
        <v>120</v>
      </c>
      <c r="B77">
        <f t="shared" si="12"/>
        <v>1.1555383701104742</v>
      </c>
      <c r="C77">
        <v>29988</v>
      </c>
      <c r="D77">
        <v>2103</v>
      </c>
      <c r="E77">
        <v>499</v>
      </c>
      <c r="F77">
        <v>1081</v>
      </c>
      <c r="G77">
        <f t="shared" si="13"/>
        <v>0.7614457831325301</v>
      </c>
      <c r="N77" s="1">
        <f aca="true" t="shared" si="14" ref="N77:N82">N76+0.01</f>
        <v>1.68</v>
      </c>
      <c r="O77">
        <f aca="true" t="shared" si="15" ref="O77:O82">0.1123*N77^3-0.5886*N77^2+0.5479*N77+0.7293</f>
        <v>0.5209926336000001</v>
      </c>
    </row>
    <row r="78" spans="1:15" ht="12.75">
      <c r="A78">
        <v>150</v>
      </c>
      <c r="B78">
        <f t="shared" si="12"/>
        <v>1.4150501246953981</v>
      </c>
      <c r="C78">
        <v>24926</v>
      </c>
      <c r="D78">
        <v>2129</v>
      </c>
      <c r="E78">
        <v>416</v>
      </c>
      <c r="F78">
        <v>929</v>
      </c>
      <c r="G78">
        <f t="shared" si="13"/>
        <v>0.6401713469776297</v>
      </c>
      <c r="N78" s="1">
        <f t="shared" si="14"/>
        <v>1.69</v>
      </c>
      <c r="O78">
        <f t="shared" si="15"/>
        <v>0.5162011907000001</v>
      </c>
    </row>
    <row r="79" spans="1:15" ht="12.75">
      <c r="A79">
        <v>180</v>
      </c>
      <c r="B79">
        <f t="shared" si="12"/>
        <v>1.674561879280322</v>
      </c>
      <c r="C79">
        <v>19826</v>
      </c>
      <c r="D79">
        <v>2069</v>
      </c>
      <c r="E79">
        <v>345</v>
      </c>
      <c r="F79">
        <v>755</v>
      </c>
      <c r="G79">
        <f t="shared" si="13"/>
        <v>0.5389514943655072</v>
      </c>
      <c r="N79" s="1">
        <f t="shared" si="14"/>
        <v>1.7</v>
      </c>
      <c r="O79">
        <f t="shared" si="15"/>
        <v>0.5114059000000002</v>
      </c>
    </row>
    <row r="80" spans="1:15" ht="12.75">
      <c r="A80">
        <v>210</v>
      </c>
      <c r="B80">
        <f t="shared" si="12"/>
        <v>1.934073633865246</v>
      </c>
      <c r="C80">
        <v>16034</v>
      </c>
      <c r="D80">
        <v>2106</v>
      </c>
      <c r="E80">
        <v>236</v>
      </c>
      <c r="F80">
        <v>529</v>
      </c>
      <c r="G80">
        <f t="shared" si="13"/>
        <v>0.3681424446583253</v>
      </c>
      <c r="N80" s="1">
        <f t="shared" si="14"/>
        <v>1.71</v>
      </c>
      <c r="O80">
        <f t="shared" si="15"/>
        <v>0.5066074353000001</v>
      </c>
    </row>
    <row r="81" spans="1:15" ht="12.75">
      <c r="A81">
        <v>240</v>
      </c>
      <c r="B81">
        <f t="shared" si="12"/>
        <v>2.19358538845017</v>
      </c>
      <c r="C81">
        <v>12628</v>
      </c>
      <c r="D81">
        <v>2061</v>
      </c>
      <c r="E81">
        <v>196</v>
      </c>
      <c r="F81">
        <v>417</v>
      </c>
      <c r="G81">
        <f t="shared" si="13"/>
        <v>0.3015248401377275</v>
      </c>
      <c r="N81" s="2">
        <f t="shared" si="14"/>
        <v>1.72</v>
      </c>
      <c r="O81" s="2">
        <f t="shared" si="15"/>
        <v>0.5018064704</v>
      </c>
    </row>
    <row r="82" spans="1:15" ht="12.75">
      <c r="A82">
        <v>270</v>
      </c>
      <c r="B82">
        <f t="shared" si="12"/>
        <v>2.453097143035094</v>
      </c>
      <c r="C82">
        <v>10401</v>
      </c>
      <c r="D82">
        <v>2049</v>
      </c>
      <c r="E82">
        <v>128</v>
      </c>
      <c r="F82">
        <v>267</v>
      </c>
      <c r="G82">
        <f t="shared" si="13"/>
        <v>0.1954477981197427</v>
      </c>
      <c r="N82" s="1">
        <f t="shared" si="14"/>
        <v>1.73</v>
      </c>
      <c r="O82">
        <f t="shared" si="15"/>
        <v>0.4970036791000001</v>
      </c>
    </row>
    <row r="83" spans="1:7" ht="12.75">
      <c r="A83">
        <v>300</v>
      </c>
      <c r="B83">
        <f t="shared" si="12"/>
        <v>2.712608897620018</v>
      </c>
      <c r="C83">
        <v>8378</v>
      </c>
      <c r="D83">
        <v>2058</v>
      </c>
      <c r="E83">
        <v>75</v>
      </c>
      <c r="F83">
        <v>174</v>
      </c>
      <c r="G83">
        <f t="shared" si="13"/>
        <v>0.12266009852216748</v>
      </c>
    </row>
    <row r="89" spans="1:4" ht="12.75">
      <c r="A89" t="s">
        <v>16</v>
      </c>
      <c r="B89" t="s">
        <v>78</v>
      </c>
      <c r="C89" s="3"/>
      <c r="D89" s="3"/>
    </row>
    <row r="91" spans="1:15" ht="12.7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  <c r="N91">
        <v>2.06</v>
      </c>
      <c r="O91">
        <f>0.0289*N91^3-0.1867*N91^2+0.0195*N91+1.0119</f>
        <v>0.5124283623999999</v>
      </c>
    </row>
    <row r="92" spans="1:15" ht="12.75">
      <c r="A92">
        <v>102</v>
      </c>
      <c r="B92">
        <f aca="true" t="shared" si="16" ref="B92:B99">(A92+13.5822)/115.6017</f>
        <v>0.9998313173595198</v>
      </c>
      <c r="C92">
        <v>64386</v>
      </c>
      <c r="D92">
        <v>1949</v>
      </c>
      <c r="E92">
        <v>574</v>
      </c>
      <c r="F92">
        <v>1121</v>
      </c>
      <c r="G92">
        <f aca="true" t="shared" si="17" ref="G92:G99">(E92+F92)/(D92-14*2)</f>
        <v>0.8823529411764706</v>
      </c>
      <c r="N92" s="1">
        <f aca="true" t="shared" si="18" ref="N92:N99">N91+0.01</f>
        <v>2.07</v>
      </c>
      <c r="O92">
        <f aca="true" t="shared" si="19" ref="O92:O99">0.0289*N92^3-0.1867*N92^2+0.0195*N92+1.0119</f>
        <v>0.5086097427</v>
      </c>
    </row>
    <row r="93" spans="1:15" ht="12.75">
      <c r="A93">
        <v>150</v>
      </c>
      <c r="B93">
        <f t="shared" si="16"/>
        <v>1.4150501246953981</v>
      </c>
      <c r="C93">
        <v>66297</v>
      </c>
      <c r="D93">
        <v>2071</v>
      </c>
      <c r="E93">
        <v>466</v>
      </c>
      <c r="F93">
        <v>1006</v>
      </c>
      <c r="G93">
        <f t="shared" si="17"/>
        <v>0.7205090553108174</v>
      </c>
      <c r="N93" s="1">
        <f t="shared" si="18"/>
        <v>2.0799999999999996</v>
      </c>
      <c r="O93">
        <f t="shared" si="19"/>
        <v>0.5047896768000001</v>
      </c>
    </row>
    <row r="94" spans="1:15" ht="12.75">
      <c r="A94">
        <v>180</v>
      </c>
      <c r="B94">
        <f t="shared" si="16"/>
        <v>1.674561879280322</v>
      </c>
      <c r="C94">
        <v>56275</v>
      </c>
      <c r="D94">
        <v>2164</v>
      </c>
      <c r="E94">
        <v>448</v>
      </c>
      <c r="F94">
        <v>965</v>
      </c>
      <c r="G94">
        <f t="shared" si="17"/>
        <v>0.6615168539325843</v>
      </c>
      <c r="N94" s="2">
        <f t="shared" si="18"/>
        <v>2.0899999999999994</v>
      </c>
      <c r="O94" s="2">
        <f t="shared" si="19"/>
        <v>0.5009683381000002</v>
      </c>
    </row>
    <row r="95" spans="1:15" ht="12.75">
      <c r="A95">
        <v>210</v>
      </c>
      <c r="B95">
        <f t="shared" si="16"/>
        <v>1.934073633865246</v>
      </c>
      <c r="C95">
        <v>57472</v>
      </c>
      <c r="D95">
        <v>2079</v>
      </c>
      <c r="E95">
        <v>393</v>
      </c>
      <c r="F95">
        <v>793</v>
      </c>
      <c r="G95">
        <f t="shared" si="17"/>
        <v>0.5782545099951243</v>
      </c>
      <c r="N95" s="1">
        <f t="shared" si="18"/>
        <v>2.099999999999999</v>
      </c>
      <c r="O95">
        <f t="shared" si="19"/>
        <v>0.49714590000000025</v>
      </c>
    </row>
    <row r="96" spans="1:15" ht="12.75">
      <c r="A96">
        <v>240</v>
      </c>
      <c r="B96">
        <f t="shared" si="16"/>
        <v>2.19358538845017</v>
      </c>
      <c r="C96">
        <v>46096</v>
      </c>
      <c r="D96">
        <v>1968</v>
      </c>
      <c r="E96">
        <v>300</v>
      </c>
      <c r="F96">
        <v>627</v>
      </c>
      <c r="G96">
        <f t="shared" si="17"/>
        <v>0.4778350515463918</v>
      </c>
      <c r="N96" s="1">
        <f t="shared" si="18"/>
        <v>2.109999999999999</v>
      </c>
      <c r="O96">
        <f t="shared" si="19"/>
        <v>0.4933225359000004</v>
      </c>
    </row>
    <row r="97" spans="1:15" ht="12.75">
      <c r="A97">
        <v>270</v>
      </c>
      <c r="B97">
        <f t="shared" si="16"/>
        <v>2.453097143035094</v>
      </c>
      <c r="C97">
        <v>32340</v>
      </c>
      <c r="D97">
        <v>2080</v>
      </c>
      <c r="E97">
        <v>241</v>
      </c>
      <c r="F97">
        <v>472</v>
      </c>
      <c r="G97">
        <f t="shared" si="17"/>
        <v>0.34746588693957114</v>
      </c>
      <c r="N97" s="1">
        <f t="shared" si="18"/>
        <v>2.1199999999999988</v>
      </c>
      <c r="O97">
        <f t="shared" si="19"/>
        <v>0.4894984192000005</v>
      </c>
    </row>
    <row r="98" spans="1:15" ht="12.75">
      <c r="A98">
        <v>300</v>
      </c>
      <c r="B98">
        <f t="shared" si="16"/>
        <v>2.712608897620018</v>
      </c>
      <c r="C98">
        <v>36247</v>
      </c>
      <c r="D98">
        <v>2074</v>
      </c>
      <c r="E98">
        <v>168</v>
      </c>
      <c r="F98">
        <v>345</v>
      </c>
      <c r="G98">
        <f t="shared" si="17"/>
        <v>0.250733137829912</v>
      </c>
      <c r="N98" s="1">
        <f t="shared" si="18"/>
        <v>2.1299999999999986</v>
      </c>
      <c r="O98">
        <f t="shared" si="19"/>
        <v>0.48567372330000047</v>
      </c>
    </row>
    <row r="99" spans="1:15" ht="12.75">
      <c r="A99">
        <v>330</v>
      </c>
      <c r="B99">
        <f t="shared" si="16"/>
        <v>2.972120652204942</v>
      </c>
      <c r="C99">
        <v>44528</v>
      </c>
      <c r="D99">
        <v>2004</v>
      </c>
      <c r="E99">
        <v>131</v>
      </c>
      <c r="F99">
        <v>247</v>
      </c>
      <c r="G99">
        <f t="shared" si="17"/>
        <v>0.19129554655870445</v>
      </c>
      <c r="N99" s="1">
        <f t="shared" si="18"/>
        <v>2.1399999999999983</v>
      </c>
      <c r="O99">
        <f t="shared" si="19"/>
        <v>0.48184862160000064</v>
      </c>
    </row>
    <row r="106" spans="1:4" ht="12.75">
      <c r="A106" t="s">
        <v>18</v>
      </c>
      <c r="B106" t="s">
        <v>79</v>
      </c>
      <c r="C106" s="3"/>
      <c r="D106" s="3"/>
    </row>
    <row r="108" spans="1:15" ht="12.75">
      <c r="A108" t="s">
        <v>0</v>
      </c>
      <c r="B108" t="s">
        <v>1</v>
      </c>
      <c r="C108" t="s">
        <v>2</v>
      </c>
      <c r="D108" t="s">
        <v>3</v>
      </c>
      <c r="E108" t="s">
        <v>4</v>
      </c>
      <c r="F108" t="s">
        <v>5</v>
      </c>
      <c r="G108" t="s">
        <v>6</v>
      </c>
      <c r="N108">
        <v>2.27</v>
      </c>
      <c r="O108">
        <f>-0.1049*N108^3+0.929*N108^2-3.024*N108+3.8175</f>
        <v>0.5130400932999999</v>
      </c>
    </row>
    <row r="109" spans="1:15" ht="12.75">
      <c r="A109">
        <v>102</v>
      </c>
      <c r="B109">
        <f aca="true" t="shared" si="20" ref="B109:B115">(A109+13.5822)/115.6017</f>
        <v>0.9998313173595198</v>
      </c>
      <c r="C109">
        <v>320932</v>
      </c>
      <c r="D109">
        <v>2095</v>
      </c>
      <c r="E109">
        <v>720</v>
      </c>
      <c r="F109">
        <v>1250</v>
      </c>
      <c r="G109">
        <f aca="true" t="shared" si="21" ref="G109:G115">(E109+F109)/(D109-14*2)</f>
        <v>0.9530720851475568</v>
      </c>
      <c r="N109" s="1">
        <f aca="true" t="shared" si="22" ref="N109:N114">N108+0.01</f>
        <v>2.28</v>
      </c>
      <c r="O109">
        <f aca="true" t="shared" si="23" ref="O109:O114">-0.1049*N109^3+0.929*N109^2-3.024*N109+3.8175</f>
        <v>0.5087818752000004</v>
      </c>
    </row>
    <row r="110" spans="1:15" ht="12.75">
      <c r="A110">
        <v>210</v>
      </c>
      <c r="B110">
        <f t="shared" si="20"/>
        <v>1.934073633865246</v>
      </c>
      <c r="C110">
        <v>135911</v>
      </c>
      <c r="D110">
        <v>2066</v>
      </c>
      <c r="E110">
        <v>478</v>
      </c>
      <c r="F110">
        <v>924</v>
      </c>
      <c r="G110">
        <f t="shared" si="21"/>
        <v>0.6879293424926398</v>
      </c>
      <c r="N110" s="1">
        <f t="shared" si="22"/>
        <v>2.2899999999999996</v>
      </c>
      <c r="O110">
        <f t="shared" si="23"/>
        <v>0.5045659539000003</v>
      </c>
    </row>
    <row r="111" spans="1:15" ht="12.75">
      <c r="A111">
        <v>240</v>
      </c>
      <c r="B111">
        <f t="shared" si="20"/>
        <v>2.19358538845017</v>
      </c>
      <c r="C111">
        <v>167612</v>
      </c>
      <c r="D111">
        <v>2076</v>
      </c>
      <c r="E111">
        <v>343</v>
      </c>
      <c r="F111">
        <v>759</v>
      </c>
      <c r="G111">
        <f t="shared" si="21"/>
        <v>0.5380859375</v>
      </c>
      <c r="N111" s="2">
        <f t="shared" si="22"/>
        <v>2.2999999999999994</v>
      </c>
      <c r="O111" s="2">
        <f t="shared" si="23"/>
        <v>0.5003917000000007</v>
      </c>
    </row>
    <row r="112" spans="1:15" ht="12.75">
      <c r="A112">
        <v>270</v>
      </c>
      <c r="B112">
        <f t="shared" si="20"/>
        <v>2.453097143035094</v>
      </c>
      <c r="C112">
        <v>94826</v>
      </c>
      <c r="D112">
        <v>2110</v>
      </c>
      <c r="E112">
        <v>306</v>
      </c>
      <c r="F112">
        <v>633</v>
      </c>
      <c r="G112">
        <f t="shared" si="21"/>
        <v>0.4510086455331412</v>
      </c>
      <c r="N112" s="1">
        <f t="shared" si="22"/>
        <v>2.309999999999999</v>
      </c>
      <c r="O112">
        <f t="shared" si="23"/>
        <v>0.4962584841000006</v>
      </c>
    </row>
    <row r="113" spans="1:15" ht="12.75">
      <c r="A113">
        <v>300</v>
      </c>
      <c r="B113">
        <f t="shared" si="20"/>
        <v>2.712608897620018</v>
      </c>
      <c r="C113">
        <v>51752</v>
      </c>
      <c r="D113">
        <v>2136</v>
      </c>
      <c r="E113">
        <v>250</v>
      </c>
      <c r="F113">
        <v>502</v>
      </c>
      <c r="G113">
        <f t="shared" si="21"/>
        <v>0.3567362428842505</v>
      </c>
      <c r="N113" s="1">
        <f t="shared" si="22"/>
        <v>2.319999999999999</v>
      </c>
      <c r="O113">
        <f t="shared" si="23"/>
        <v>0.49216567680000045</v>
      </c>
    </row>
    <row r="114" spans="1:15" ht="12.75">
      <c r="A114">
        <v>330</v>
      </c>
      <c r="B114">
        <f t="shared" si="20"/>
        <v>2.972120652204942</v>
      </c>
      <c r="C114">
        <v>67270</v>
      </c>
      <c r="D114">
        <v>2072</v>
      </c>
      <c r="E114">
        <v>186</v>
      </c>
      <c r="F114">
        <v>383</v>
      </c>
      <c r="G114">
        <f t="shared" si="21"/>
        <v>0.27837573385518594</v>
      </c>
      <c r="N114" s="1">
        <f t="shared" si="22"/>
        <v>2.3299999999999987</v>
      </c>
      <c r="O114">
        <f t="shared" si="23"/>
        <v>0.4881126487000005</v>
      </c>
    </row>
    <row r="115" spans="1:14" ht="12.75">
      <c r="A115">
        <v>360</v>
      </c>
      <c r="B115">
        <f t="shared" si="20"/>
        <v>3.2316324067898656</v>
      </c>
      <c r="C115">
        <v>92826</v>
      </c>
      <c r="D115">
        <v>2087</v>
      </c>
      <c r="E115">
        <v>144</v>
      </c>
      <c r="F115">
        <v>287</v>
      </c>
      <c r="G115">
        <f t="shared" si="21"/>
        <v>0.2093249150072851</v>
      </c>
      <c r="N115" s="1"/>
    </row>
    <row r="121" ht="12.75">
      <c r="A121" t="s">
        <v>19</v>
      </c>
    </row>
    <row r="123" spans="1:7" ht="12.75">
      <c r="A123" t="s">
        <v>0</v>
      </c>
      <c r="B123" t="s">
        <v>1</v>
      </c>
      <c r="C123" t="s">
        <v>2</v>
      </c>
      <c r="D123" t="s">
        <v>3</v>
      </c>
      <c r="E123" t="s">
        <v>4</v>
      </c>
      <c r="F123" t="s">
        <v>5</v>
      </c>
      <c r="G123" t="s">
        <v>6</v>
      </c>
    </row>
    <row r="124" spans="1:2" ht="12.75">
      <c r="A124">
        <v>102</v>
      </c>
      <c r="B124">
        <f aca="true" t="shared" si="24" ref="B124:B131">(A124+13.5822)/115.6017</f>
        <v>0.9998313173595198</v>
      </c>
    </row>
    <row r="125" spans="1:2" ht="12.75">
      <c r="A125">
        <v>210</v>
      </c>
      <c r="B125">
        <f t="shared" si="24"/>
        <v>1.934073633865246</v>
      </c>
    </row>
    <row r="126" spans="1:2" ht="12.75">
      <c r="A126">
        <v>240</v>
      </c>
      <c r="B126">
        <f t="shared" si="24"/>
        <v>2.19358538845017</v>
      </c>
    </row>
    <row r="127" spans="1:2" ht="12.75">
      <c r="A127">
        <v>270</v>
      </c>
      <c r="B127">
        <f t="shared" si="24"/>
        <v>2.453097143035094</v>
      </c>
    </row>
    <row r="128" spans="1:2" ht="12.75">
      <c r="A128">
        <v>300</v>
      </c>
      <c r="B128">
        <f t="shared" si="24"/>
        <v>2.712608897620018</v>
      </c>
    </row>
    <row r="129" spans="1:2" ht="12.75">
      <c r="A129">
        <v>330</v>
      </c>
      <c r="B129">
        <f t="shared" si="24"/>
        <v>2.972120652204942</v>
      </c>
    </row>
    <row r="130" spans="1:2" ht="12.75">
      <c r="A130">
        <v>360</v>
      </c>
      <c r="B130">
        <f t="shared" si="24"/>
        <v>3.2316324067898656</v>
      </c>
    </row>
    <row r="131" spans="1:2" ht="12.75">
      <c r="A131">
        <v>390</v>
      </c>
      <c r="B131">
        <f t="shared" si="24"/>
        <v>3.49114416137479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A89">
      <selection activeCell="G93" sqref="G93"/>
    </sheetView>
  </sheetViews>
  <sheetFormatPr defaultColWidth="9.140625" defaultRowHeight="12.75"/>
  <cols>
    <col min="1" max="1" width="10.00390625" style="0" customWidth="1"/>
  </cols>
  <sheetData>
    <row r="1" spans="1:2" ht="12.75">
      <c r="A1" t="s">
        <v>81</v>
      </c>
      <c r="B1" t="s">
        <v>82</v>
      </c>
    </row>
    <row r="2" spans="1:3" ht="12.75">
      <c r="A2" t="s">
        <v>69</v>
      </c>
      <c r="B2" t="s">
        <v>45</v>
      </c>
      <c r="C2" t="s">
        <v>62</v>
      </c>
    </row>
    <row r="3" spans="1:3" ht="12.75">
      <c r="A3">
        <v>40</v>
      </c>
      <c r="B3">
        <f>G19</f>
        <v>0.18370607028753994</v>
      </c>
      <c r="C3">
        <f>N17</f>
        <v>0.76</v>
      </c>
    </row>
    <row r="4" spans="1:3" ht="12.75">
      <c r="A4">
        <v>60</v>
      </c>
      <c r="B4">
        <f>G30</f>
        <v>0.4293248945147679</v>
      </c>
      <c r="C4">
        <f>N32</f>
        <v>0.91</v>
      </c>
    </row>
    <row r="5" spans="1:3" ht="12.75">
      <c r="A5">
        <v>80</v>
      </c>
      <c r="B5">
        <f>G44</f>
        <v>0.6479481641468683</v>
      </c>
      <c r="C5">
        <f>N46</f>
        <v>1.1400000000000001</v>
      </c>
    </row>
    <row r="6" spans="1:3" ht="12.75">
      <c r="A6">
        <v>100</v>
      </c>
      <c r="B6">
        <f>G59</f>
        <v>0.685510428100988</v>
      </c>
      <c r="C6">
        <f>N60</f>
        <v>1.33</v>
      </c>
    </row>
    <row r="7" spans="1:3" ht="12.75">
      <c r="A7">
        <v>150</v>
      </c>
      <c r="B7">
        <f>G77</f>
        <v>0.8060773480662984</v>
      </c>
      <c r="C7">
        <f>N79</f>
        <v>1.68</v>
      </c>
    </row>
    <row r="8" spans="1:3" ht="12.75">
      <c r="A8">
        <v>200</v>
      </c>
      <c r="B8">
        <f>G93</f>
        <v>0.8707833047455689</v>
      </c>
      <c r="C8">
        <f>N99</f>
        <v>2.01</v>
      </c>
    </row>
    <row r="9" spans="1:3" ht="12.75">
      <c r="A9">
        <v>250</v>
      </c>
      <c r="B9">
        <f>G110</f>
        <v>0.9232987312572087</v>
      </c>
      <c r="C9">
        <f>N112</f>
        <v>2.2699999999999996</v>
      </c>
    </row>
    <row r="10" ht="12.75">
      <c r="A10">
        <v>300</v>
      </c>
    </row>
    <row r="14" spans="1:2" ht="12.75">
      <c r="A14" t="s">
        <v>7</v>
      </c>
      <c r="B14" t="s">
        <v>83</v>
      </c>
    </row>
    <row r="16" spans="1:15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N16">
        <v>0.75</v>
      </c>
      <c r="O16">
        <f aca="true" t="shared" si="0" ref="O16:O22">-2.0451*N16^3+8.0106*N16^2-10.605*N16+4.8332</f>
        <v>0.5226359374999987</v>
      </c>
    </row>
    <row r="17" spans="1:15" ht="12.75">
      <c r="A17">
        <v>80</v>
      </c>
      <c r="B17">
        <f>(A17+13.5822)/115.6017</f>
        <v>0.8095226973305756</v>
      </c>
      <c r="C17">
        <v>15082</v>
      </c>
      <c r="D17">
        <v>1959</v>
      </c>
      <c r="E17">
        <v>226</v>
      </c>
      <c r="F17">
        <v>564</v>
      </c>
      <c r="G17">
        <f>(F17+E17)/(D17-2*14)</f>
        <v>0.40911444847229417</v>
      </c>
      <c r="N17" s="2">
        <f>N16+0.01</f>
        <v>0.76</v>
      </c>
      <c r="O17" s="2">
        <f t="shared" si="0"/>
        <v>0.5025727423999982</v>
      </c>
    </row>
    <row r="18" spans="1:15" ht="12.75">
      <c r="A18">
        <v>90</v>
      </c>
      <c r="B18">
        <f>(A18+13.5822)/115.6017</f>
        <v>0.8960266155255503</v>
      </c>
      <c r="C18">
        <v>12141</v>
      </c>
      <c r="D18">
        <v>1910</v>
      </c>
      <c r="E18">
        <v>150</v>
      </c>
      <c r="F18">
        <v>418</v>
      </c>
      <c r="G18">
        <f>(F18+E18)/(D18-2*14)</f>
        <v>0.3018065887353879</v>
      </c>
      <c r="N18">
        <f>N17+0.01</f>
        <v>0.77</v>
      </c>
      <c r="O18">
        <f t="shared" si="0"/>
        <v>0.48317910169999845</v>
      </c>
    </row>
    <row r="19" spans="1:15" ht="12.75">
      <c r="A19" s="1">
        <v>102</v>
      </c>
      <c r="B19">
        <f>(A19+13.5822)/115.6017</f>
        <v>0.9998313173595198</v>
      </c>
      <c r="C19" s="1">
        <v>9533</v>
      </c>
      <c r="D19" s="1">
        <v>1906</v>
      </c>
      <c r="E19" s="1">
        <v>101</v>
      </c>
      <c r="F19" s="1">
        <v>244</v>
      </c>
      <c r="G19">
        <f>(F19+E19)/(D19-2*14)</f>
        <v>0.18370607028753994</v>
      </c>
      <c r="N19">
        <f>N18+0.01</f>
        <v>0.78</v>
      </c>
      <c r="O19">
        <f t="shared" si="0"/>
        <v>0.4644427447999995</v>
      </c>
    </row>
    <row r="20" spans="1:15" ht="12.75">
      <c r="A20">
        <v>120</v>
      </c>
      <c r="B20">
        <f>(A20+13.5822)/115.6017</f>
        <v>1.1555383701104742</v>
      </c>
      <c r="C20" s="1">
        <v>7124</v>
      </c>
      <c r="D20" s="1">
        <v>1928</v>
      </c>
      <c r="E20" s="1">
        <v>67</v>
      </c>
      <c r="F20" s="1">
        <v>167</v>
      </c>
      <c r="G20">
        <f>(F20+E20)/(D20-2*14)</f>
        <v>0.1231578947368421</v>
      </c>
      <c r="N20">
        <f>N19+0.01</f>
        <v>0.79</v>
      </c>
      <c r="O20">
        <f t="shared" si="0"/>
        <v>0.4463514010999994</v>
      </c>
    </row>
    <row r="21" spans="1:15" ht="12.75">
      <c r="A21">
        <v>150</v>
      </c>
      <c r="B21">
        <f>(A21+13.5822)/115.6017</f>
        <v>1.4150501246953981</v>
      </c>
      <c r="C21" s="1">
        <v>4635</v>
      </c>
      <c r="D21" s="1">
        <v>1965</v>
      </c>
      <c r="E21" s="1">
        <v>45</v>
      </c>
      <c r="F21" s="1">
        <v>94</v>
      </c>
      <c r="G21">
        <f>(F21+E21)/(D21-2*14)</f>
        <v>0.07176045431078988</v>
      </c>
      <c r="N21">
        <f>N20+0.01</f>
        <v>0.8</v>
      </c>
      <c r="O21">
        <f t="shared" si="0"/>
        <v>0.42889279999999985</v>
      </c>
    </row>
    <row r="22" spans="14:15" ht="12.75">
      <c r="N22">
        <v>1</v>
      </c>
      <c r="O22">
        <f t="shared" si="0"/>
        <v>0.19369999999999976</v>
      </c>
    </row>
    <row r="25" spans="1:2" ht="12.75">
      <c r="A25" t="s">
        <v>9</v>
      </c>
      <c r="B25" t="s">
        <v>84</v>
      </c>
    </row>
    <row r="27" spans="1:7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</row>
    <row r="28" spans="1:15" ht="12.75">
      <c r="A28">
        <v>80</v>
      </c>
      <c r="B28">
        <f aca="true" t="shared" si="1" ref="B28:B33">(A28+13.5822)/115.6017</f>
        <v>0.8095226973305756</v>
      </c>
      <c r="C28">
        <v>20950</v>
      </c>
      <c r="D28">
        <v>1840</v>
      </c>
      <c r="E28">
        <v>307</v>
      </c>
      <c r="F28">
        <v>754</v>
      </c>
      <c r="G28">
        <f aca="true" t="shared" si="2" ref="G28:G33">(F28+E28)/(D28-2*14)</f>
        <v>0.5855408388520972</v>
      </c>
      <c r="N28">
        <v>0.87</v>
      </c>
      <c r="O28">
        <f aca="true" t="shared" si="3" ref="O28:O34">0.444*N28^3-1.0943*N28^2+0.0015*N28+1.0674</f>
        <v>0.5328046619999999</v>
      </c>
    </row>
    <row r="29" spans="1:15" ht="12.75">
      <c r="A29">
        <v>90</v>
      </c>
      <c r="B29">
        <f t="shared" si="1"/>
        <v>0.8960266155255503</v>
      </c>
      <c r="C29">
        <v>18513</v>
      </c>
      <c r="D29">
        <v>1913</v>
      </c>
      <c r="E29">
        <v>276</v>
      </c>
      <c r="F29">
        <v>681</v>
      </c>
      <c r="G29">
        <f t="shared" si="2"/>
        <v>0.5076923076923077</v>
      </c>
      <c r="N29">
        <f>N28+0.01</f>
        <v>0.88</v>
      </c>
      <c r="O29">
        <f t="shared" si="3"/>
        <v>0.5238676479999999</v>
      </c>
    </row>
    <row r="30" spans="1:15" ht="12.75">
      <c r="A30" s="1">
        <v>102</v>
      </c>
      <c r="B30">
        <f t="shared" si="1"/>
        <v>0.9998313173595198</v>
      </c>
      <c r="C30">
        <v>15514</v>
      </c>
      <c r="D30">
        <v>1924</v>
      </c>
      <c r="E30">
        <v>236</v>
      </c>
      <c r="F30">
        <v>578</v>
      </c>
      <c r="G30">
        <f t="shared" si="2"/>
        <v>0.4293248945147679</v>
      </c>
      <c r="N30">
        <f>N29+0.01</f>
        <v>0.89</v>
      </c>
      <c r="O30">
        <f t="shared" si="3"/>
        <v>0.514946206</v>
      </c>
    </row>
    <row r="31" spans="1:15" ht="12.75">
      <c r="A31">
        <v>120</v>
      </c>
      <c r="B31">
        <f t="shared" si="1"/>
        <v>1.1555383701104742</v>
      </c>
      <c r="C31">
        <v>11980</v>
      </c>
      <c r="D31">
        <v>1831</v>
      </c>
      <c r="E31">
        <v>138</v>
      </c>
      <c r="F31">
        <v>371</v>
      </c>
      <c r="G31">
        <f t="shared" si="2"/>
        <v>0.2823072656683306</v>
      </c>
      <c r="N31">
        <f>N30+0.01</f>
        <v>0.9</v>
      </c>
      <c r="O31">
        <f t="shared" si="3"/>
        <v>0.5060429999999998</v>
      </c>
    </row>
    <row r="32" spans="1:15" ht="12.75">
      <c r="A32">
        <v>150</v>
      </c>
      <c r="B32">
        <f t="shared" si="1"/>
        <v>1.4150501246953981</v>
      </c>
      <c r="C32">
        <v>8132</v>
      </c>
      <c r="D32">
        <v>1853</v>
      </c>
      <c r="E32">
        <v>78</v>
      </c>
      <c r="F32">
        <v>179</v>
      </c>
      <c r="G32">
        <f t="shared" si="2"/>
        <v>0.14082191780821918</v>
      </c>
      <c r="N32" s="2">
        <f>N31+0.01</f>
        <v>0.91</v>
      </c>
      <c r="O32" s="2">
        <f t="shared" si="3"/>
        <v>0.49716069399999985</v>
      </c>
    </row>
    <row r="33" spans="1:15" ht="12.75">
      <c r="A33">
        <v>180</v>
      </c>
      <c r="B33">
        <f t="shared" si="1"/>
        <v>1.674561879280322</v>
      </c>
      <c r="C33">
        <v>5643</v>
      </c>
      <c r="D33">
        <v>1878</v>
      </c>
      <c r="E33">
        <v>52</v>
      </c>
      <c r="F33">
        <v>106</v>
      </c>
      <c r="G33">
        <f t="shared" si="2"/>
        <v>0.08540540540540541</v>
      </c>
      <c r="N33">
        <f>N32+0.01</f>
        <v>0.92</v>
      </c>
      <c r="O33">
        <f t="shared" si="3"/>
        <v>0.48830195199999993</v>
      </c>
    </row>
    <row r="34" spans="14:15" ht="12.75">
      <c r="N34">
        <v>1</v>
      </c>
      <c r="O34">
        <f t="shared" si="3"/>
        <v>0.41859999999999975</v>
      </c>
    </row>
    <row r="39" spans="1:2" ht="12.75">
      <c r="A39" t="s">
        <v>11</v>
      </c>
      <c r="B39" t="s">
        <v>85</v>
      </c>
    </row>
    <row r="41" spans="1:7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</row>
    <row r="42" spans="1:15" ht="12.75">
      <c r="A42">
        <v>80</v>
      </c>
      <c r="B42">
        <f aca="true" t="shared" si="4" ref="B42:B49">(A42+13.5822)/115.6017</f>
        <v>0.8095226973305756</v>
      </c>
      <c r="C42">
        <v>25386</v>
      </c>
      <c r="D42">
        <v>1827</v>
      </c>
      <c r="E42">
        <v>369</v>
      </c>
      <c r="F42">
        <v>922</v>
      </c>
      <c r="G42">
        <f aca="true" t="shared" si="5" ref="G42:G49">(F42+E42)/(D42-2*14)</f>
        <v>0.7176209005002779</v>
      </c>
      <c r="N42">
        <v>1.1</v>
      </c>
      <c r="O42">
        <f>-2.2151*N42^4+12.804*N42^3-26.563*N42^2+22.724*N42-6.1148</f>
        <v>0.5393660900000041</v>
      </c>
    </row>
    <row r="43" spans="1:15" ht="12.75">
      <c r="A43">
        <v>90</v>
      </c>
      <c r="B43">
        <f t="shared" si="4"/>
        <v>0.8960266155255503</v>
      </c>
      <c r="C43">
        <v>23255</v>
      </c>
      <c r="D43">
        <v>1847</v>
      </c>
      <c r="E43">
        <v>363</v>
      </c>
      <c r="F43">
        <v>898</v>
      </c>
      <c r="G43">
        <f t="shared" si="5"/>
        <v>0.6932380428807037</v>
      </c>
      <c r="N43">
        <f aca="true" t="shared" si="6" ref="N43:N48">N42+0.01</f>
        <v>1.11</v>
      </c>
      <c r="O43">
        <f aca="true" t="shared" si="7" ref="O43:O48">-2.2151*N43^4+12.804*N43^3-26.563*N43^2+22.724*N43-6.1148</f>
        <v>0.5290372588090042</v>
      </c>
    </row>
    <row r="44" spans="1:15" ht="12.75">
      <c r="A44" s="1">
        <v>102</v>
      </c>
      <c r="B44">
        <f t="shared" si="4"/>
        <v>0.9998313173595198</v>
      </c>
      <c r="C44">
        <v>20529</v>
      </c>
      <c r="D44">
        <v>1880</v>
      </c>
      <c r="E44">
        <v>388</v>
      </c>
      <c r="F44">
        <v>812</v>
      </c>
      <c r="G44">
        <f t="shared" si="5"/>
        <v>0.6479481641468683</v>
      </c>
      <c r="N44">
        <f t="shared" si="6"/>
        <v>1.12</v>
      </c>
      <c r="O44">
        <f t="shared" si="7"/>
        <v>0.5186481776640042</v>
      </c>
    </row>
    <row r="45" spans="1:15" ht="12.75">
      <c r="A45">
        <v>120</v>
      </c>
      <c r="B45">
        <f t="shared" si="4"/>
        <v>1.1555383701104742</v>
      </c>
      <c r="C45">
        <v>16607</v>
      </c>
      <c r="D45">
        <v>1869</v>
      </c>
      <c r="E45">
        <v>258</v>
      </c>
      <c r="F45">
        <v>619</v>
      </c>
      <c r="G45">
        <f t="shared" si="5"/>
        <v>0.4763715372080391</v>
      </c>
      <c r="N45">
        <f t="shared" si="6"/>
        <v>1.1300000000000001</v>
      </c>
      <c r="O45">
        <f t="shared" si="7"/>
        <v>0.5082163944889961</v>
      </c>
    </row>
    <row r="46" spans="1:15" ht="12.75">
      <c r="A46">
        <v>135</v>
      </c>
      <c r="B46">
        <f t="shared" si="4"/>
        <v>1.2852942474029363</v>
      </c>
      <c r="C46">
        <v>13800</v>
      </c>
      <c r="D46">
        <v>1859</v>
      </c>
      <c r="E46">
        <v>191</v>
      </c>
      <c r="F46">
        <v>448</v>
      </c>
      <c r="G46">
        <f t="shared" si="5"/>
        <v>0.3489896231567449</v>
      </c>
      <c r="N46" s="2">
        <f t="shared" si="6"/>
        <v>1.1400000000000001</v>
      </c>
      <c r="O46" s="2">
        <f t="shared" si="7"/>
        <v>0.49775892558399715</v>
      </c>
    </row>
    <row r="47" spans="1:15" ht="12.75">
      <c r="A47">
        <v>150</v>
      </c>
      <c r="B47">
        <f>(A47+13.5822)/115.6017</f>
        <v>1.4150501246953981</v>
      </c>
      <c r="C47">
        <v>11727</v>
      </c>
      <c r="D47">
        <v>1966</v>
      </c>
      <c r="E47">
        <v>140</v>
      </c>
      <c r="F47">
        <v>355</v>
      </c>
      <c r="G47">
        <f t="shared" si="5"/>
        <v>0.25541795665634676</v>
      </c>
      <c r="N47">
        <f t="shared" si="6"/>
        <v>1.1500000000000001</v>
      </c>
      <c r="O47">
        <f t="shared" si="7"/>
        <v>0.48729225562499945</v>
      </c>
    </row>
    <row r="48" spans="1:15" ht="12.75">
      <c r="A48">
        <v>180</v>
      </c>
      <c r="B48">
        <f t="shared" si="4"/>
        <v>1.674561879280322</v>
      </c>
      <c r="C48">
        <v>8356</v>
      </c>
      <c r="D48">
        <v>1883</v>
      </c>
      <c r="E48">
        <v>81</v>
      </c>
      <c r="F48">
        <v>210</v>
      </c>
      <c r="G48">
        <f t="shared" si="5"/>
        <v>0.1568733153638814</v>
      </c>
      <c r="N48">
        <f t="shared" si="6"/>
        <v>1.1600000000000001</v>
      </c>
      <c r="O48">
        <f t="shared" si="7"/>
        <v>0.47683233766399535</v>
      </c>
    </row>
    <row r="49" spans="1:7" ht="12.75">
      <c r="A49">
        <v>210</v>
      </c>
      <c r="B49">
        <f t="shared" si="4"/>
        <v>1.934073633865246</v>
      </c>
      <c r="C49">
        <v>6147</v>
      </c>
      <c r="D49">
        <v>1875</v>
      </c>
      <c r="E49">
        <v>78</v>
      </c>
      <c r="F49">
        <v>129</v>
      </c>
      <c r="G49">
        <f t="shared" si="5"/>
        <v>0.1120736329182458</v>
      </c>
    </row>
    <row r="54" spans="1:2" ht="12.75">
      <c r="A54" t="s">
        <v>13</v>
      </c>
      <c r="B54" t="s">
        <v>86</v>
      </c>
    </row>
    <row r="56" spans="1:7" ht="12.7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5</v>
      </c>
      <c r="G56" t="s">
        <v>6</v>
      </c>
    </row>
    <row r="57" spans="1:15" ht="12.75">
      <c r="A57">
        <v>80</v>
      </c>
      <c r="B57">
        <f aca="true" t="shared" si="8" ref="B57:B63">(A57+13.5822)/115.6017</f>
        <v>0.8095226973305756</v>
      </c>
      <c r="C57">
        <v>30235</v>
      </c>
      <c r="D57">
        <v>1948</v>
      </c>
      <c r="E57">
        <v>474</v>
      </c>
      <c r="F57">
        <v>1061</v>
      </c>
      <c r="G57">
        <f aca="true" t="shared" si="9" ref="G57:G64">(F57+E57)/(D57-2*14)</f>
        <v>0.7994791666666666</v>
      </c>
      <c r="N57">
        <v>1.3</v>
      </c>
      <c r="O57">
        <f>-2.1312*N57^5+15.64*N57^4-44.2*N57^3+60.034*N57^2-39.777*N57+11.13</f>
        <v>0.5263675839999831</v>
      </c>
    </row>
    <row r="58" spans="1:15" ht="12.75">
      <c r="A58">
        <v>90</v>
      </c>
      <c r="B58">
        <f t="shared" si="8"/>
        <v>0.8960266155255503</v>
      </c>
      <c r="C58">
        <v>26652</v>
      </c>
      <c r="D58">
        <v>1782</v>
      </c>
      <c r="E58">
        <v>371</v>
      </c>
      <c r="F58">
        <v>934</v>
      </c>
      <c r="G58">
        <f t="shared" si="9"/>
        <v>0.7440136830102623</v>
      </c>
      <c r="N58">
        <f aca="true" t="shared" si="10" ref="N58:N63">N57+0.01</f>
        <v>1.31</v>
      </c>
      <c r="O58">
        <f aca="true" t="shared" si="11" ref="O58:O63">-2.1312*N58^5+15.64*N58^4-44.2*N58^3+60.034*N58^2-39.777*N58+11.13</f>
        <v>0.5185820099788625</v>
      </c>
    </row>
    <row r="59" spans="1:15" ht="12.75">
      <c r="A59">
        <v>102</v>
      </c>
      <c r="B59">
        <f t="shared" si="8"/>
        <v>0.9998313173595198</v>
      </c>
      <c r="C59">
        <v>24384</v>
      </c>
      <c r="D59">
        <v>1850</v>
      </c>
      <c r="E59">
        <v>355</v>
      </c>
      <c r="F59">
        <v>894</v>
      </c>
      <c r="G59">
        <f t="shared" si="9"/>
        <v>0.685510428100988</v>
      </c>
      <c r="N59">
        <f t="shared" si="10"/>
        <v>1.32</v>
      </c>
      <c r="O59">
        <f t="shared" si="11"/>
        <v>0.5106875712921433</v>
      </c>
    </row>
    <row r="60" spans="1:15" ht="12.75">
      <c r="A60">
        <v>120</v>
      </c>
      <c r="B60">
        <f t="shared" si="8"/>
        <v>1.1555383701104742</v>
      </c>
      <c r="C60">
        <v>20817</v>
      </c>
      <c r="D60">
        <v>1855</v>
      </c>
      <c r="E60">
        <v>354</v>
      </c>
      <c r="F60">
        <v>809</v>
      </c>
      <c r="G60">
        <f t="shared" si="9"/>
        <v>0.6365626710454296</v>
      </c>
      <c r="N60" s="2">
        <f t="shared" si="10"/>
        <v>1.33</v>
      </c>
      <c r="O60" s="2">
        <f t="shared" si="11"/>
        <v>0.5026915436838362</v>
      </c>
    </row>
    <row r="61" spans="1:15" ht="12.75">
      <c r="A61">
        <v>150</v>
      </c>
      <c r="B61">
        <f t="shared" si="8"/>
        <v>1.4150501246953981</v>
      </c>
      <c r="C61">
        <v>15248</v>
      </c>
      <c r="D61">
        <v>1880</v>
      </c>
      <c r="E61">
        <v>220</v>
      </c>
      <c r="F61">
        <v>561</v>
      </c>
      <c r="G61">
        <f t="shared" si="9"/>
        <v>0.4217062634989201</v>
      </c>
      <c r="N61">
        <f t="shared" si="10"/>
        <v>1.34</v>
      </c>
      <c r="O61">
        <f t="shared" si="11"/>
        <v>0.49460158067713245</v>
      </c>
    </row>
    <row r="62" spans="1:15" ht="12.75">
      <c r="A62">
        <v>180</v>
      </c>
      <c r="B62">
        <f t="shared" si="8"/>
        <v>1.674561879280322</v>
      </c>
      <c r="C62">
        <v>11070</v>
      </c>
      <c r="D62">
        <v>1854</v>
      </c>
      <c r="E62">
        <v>142</v>
      </c>
      <c r="F62">
        <v>297</v>
      </c>
      <c r="G62">
        <f t="shared" si="9"/>
        <v>0.24041621029572838</v>
      </c>
      <c r="N62">
        <f t="shared" si="10"/>
        <v>1.35</v>
      </c>
      <c r="O62">
        <f t="shared" si="11"/>
        <v>0.4864256879999953</v>
      </c>
    </row>
    <row r="63" spans="1:15" ht="12.75">
      <c r="A63">
        <v>210</v>
      </c>
      <c r="B63">
        <f t="shared" si="8"/>
        <v>1.934073633865246</v>
      </c>
      <c r="C63">
        <v>2349</v>
      </c>
      <c r="D63">
        <v>1850</v>
      </c>
      <c r="E63">
        <v>93</v>
      </c>
      <c r="F63">
        <v>191</v>
      </c>
      <c r="G63">
        <f t="shared" si="9"/>
        <v>0.15587266739846323</v>
      </c>
      <c r="N63">
        <f t="shared" si="10"/>
        <v>1.36</v>
      </c>
      <c r="O63">
        <f t="shared" si="11"/>
        <v>0.4781721980108724</v>
      </c>
    </row>
    <row r="64" spans="1:7" ht="12.75">
      <c r="A64">
        <v>240</v>
      </c>
      <c r="B64">
        <f>(A64+13.5822)/115.6017</f>
        <v>2.19358538845017</v>
      </c>
      <c r="C64">
        <v>6474</v>
      </c>
      <c r="D64">
        <v>1847</v>
      </c>
      <c r="E64">
        <v>52</v>
      </c>
      <c r="F64">
        <v>118</v>
      </c>
      <c r="G64">
        <f t="shared" si="9"/>
        <v>0.09345794392523364</v>
      </c>
    </row>
    <row r="72" spans="1:4" ht="12.75">
      <c r="A72" t="s">
        <v>17</v>
      </c>
      <c r="C72" s="3"/>
      <c r="D72" s="3"/>
    </row>
    <row r="74" spans="1:7" ht="12.75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</row>
    <row r="75" spans="1:7" ht="12.75">
      <c r="A75">
        <v>80</v>
      </c>
      <c r="B75">
        <f aca="true" t="shared" si="12" ref="B75:B84">(A75+13.5822)/115.6017</f>
        <v>0.8095226973305756</v>
      </c>
      <c r="C75">
        <v>38192</v>
      </c>
      <c r="D75">
        <v>1796</v>
      </c>
      <c r="E75">
        <v>467</v>
      </c>
      <c r="F75">
        <v>1068</v>
      </c>
      <c r="G75">
        <f aca="true" t="shared" si="13" ref="G75:G84">(F75+E75)/(D75-2*14)</f>
        <v>0.8682126696832579</v>
      </c>
    </row>
    <row r="76" spans="1:15" ht="12.75">
      <c r="A76">
        <v>90</v>
      </c>
      <c r="B76">
        <f t="shared" si="12"/>
        <v>0.8960266155255503</v>
      </c>
      <c r="C76">
        <v>35237</v>
      </c>
      <c r="D76">
        <v>1909</v>
      </c>
      <c r="E76">
        <v>495</v>
      </c>
      <c r="F76">
        <v>1090</v>
      </c>
      <c r="G76">
        <f t="shared" si="13"/>
        <v>0.8426368952684742</v>
      </c>
      <c r="N76">
        <v>1.65</v>
      </c>
      <c r="O76">
        <f>0.0723*N76^4-0.3522*N76^3+0.4842*N76^2-0.5482*N76+1.1508</f>
        <v>0.5182661268750001</v>
      </c>
    </row>
    <row r="77" spans="1:15" ht="12.75">
      <c r="A77">
        <v>102</v>
      </c>
      <c r="B77">
        <f t="shared" si="12"/>
        <v>0.9998313173595198</v>
      </c>
      <c r="C77">
        <v>32575</v>
      </c>
      <c r="D77">
        <v>1838</v>
      </c>
      <c r="E77">
        <v>457</v>
      </c>
      <c r="F77">
        <v>1002</v>
      </c>
      <c r="G77">
        <f t="shared" si="13"/>
        <v>0.8060773480662984</v>
      </c>
      <c r="N77">
        <f aca="true" t="shared" si="14" ref="N77:N82">N76+0.01</f>
        <v>1.66</v>
      </c>
      <c r="O77">
        <f aca="true" t="shared" si="15" ref="O77:O82">0.0723*N77^4-0.3522*N77^3+0.4842*N77^2-0.5482*N77+1.1508</f>
        <v>0.5129803261279999</v>
      </c>
    </row>
    <row r="78" spans="1:15" ht="12.75">
      <c r="A78">
        <v>120</v>
      </c>
      <c r="B78">
        <f t="shared" si="12"/>
        <v>1.1555383701104742</v>
      </c>
      <c r="C78">
        <v>29192</v>
      </c>
      <c r="D78">
        <v>1850</v>
      </c>
      <c r="E78">
        <v>426</v>
      </c>
      <c r="F78">
        <v>946</v>
      </c>
      <c r="G78">
        <f t="shared" si="13"/>
        <v>0.7530186608122942</v>
      </c>
      <c r="N78">
        <f t="shared" si="14"/>
        <v>1.67</v>
      </c>
      <c r="O78">
        <f t="shared" si="15"/>
        <v>0.507679651483</v>
      </c>
    </row>
    <row r="79" spans="1:15" ht="12.75">
      <c r="A79">
        <v>150</v>
      </c>
      <c r="B79">
        <f t="shared" si="12"/>
        <v>1.4150501246953981</v>
      </c>
      <c r="C79">
        <v>22848</v>
      </c>
      <c r="D79">
        <v>1856</v>
      </c>
      <c r="E79">
        <v>340</v>
      </c>
      <c r="F79">
        <v>802</v>
      </c>
      <c r="G79">
        <f t="shared" si="13"/>
        <v>0.62472647702407</v>
      </c>
      <c r="N79" s="2">
        <f t="shared" si="14"/>
        <v>1.68</v>
      </c>
      <c r="O79" s="2">
        <f t="shared" si="15"/>
        <v>0.502364878848</v>
      </c>
    </row>
    <row r="80" spans="1:15" ht="12.75">
      <c r="A80">
        <v>180</v>
      </c>
      <c r="B80">
        <f t="shared" si="12"/>
        <v>1.674561879280322</v>
      </c>
      <c r="C80">
        <v>21219</v>
      </c>
      <c r="D80">
        <v>1866</v>
      </c>
      <c r="E80">
        <v>273</v>
      </c>
      <c r="F80">
        <v>692</v>
      </c>
      <c r="G80">
        <f t="shared" si="13"/>
        <v>0.5250272034820457</v>
      </c>
      <c r="N80">
        <f t="shared" si="14"/>
        <v>1.69</v>
      </c>
      <c r="O80">
        <f t="shared" si="15"/>
        <v>0.4970368014830002</v>
      </c>
    </row>
    <row r="81" spans="1:15" ht="12.75">
      <c r="A81">
        <v>210</v>
      </c>
      <c r="B81">
        <f t="shared" si="12"/>
        <v>1.934073633865246</v>
      </c>
      <c r="C81">
        <v>14979</v>
      </c>
      <c r="D81">
        <v>1781</v>
      </c>
      <c r="E81">
        <v>178</v>
      </c>
      <c r="F81">
        <v>440</v>
      </c>
      <c r="G81">
        <f t="shared" si="13"/>
        <v>0.3525385054192812</v>
      </c>
      <c r="N81">
        <f t="shared" si="14"/>
        <v>1.7</v>
      </c>
      <c r="O81">
        <f t="shared" si="15"/>
        <v>0.49169623000000007</v>
      </c>
    </row>
    <row r="82" spans="1:15" ht="12.75">
      <c r="A82">
        <v>240</v>
      </c>
      <c r="B82">
        <f t="shared" si="12"/>
        <v>2.19358538845017</v>
      </c>
      <c r="C82">
        <v>12579</v>
      </c>
      <c r="D82">
        <v>1752</v>
      </c>
      <c r="E82">
        <v>120</v>
      </c>
      <c r="F82">
        <v>289</v>
      </c>
      <c r="G82">
        <f t="shared" si="13"/>
        <v>0.23723897911832947</v>
      </c>
      <c r="N82">
        <f t="shared" si="14"/>
        <v>1.71</v>
      </c>
      <c r="O82">
        <f t="shared" si="15"/>
        <v>0.4863439923630002</v>
      </c>
    </row>
    <row r="83" spans="1:7" ht="12.75">
      <c r="A83">
        <v>270</v>
      </c>
      <c r="B83">
        <f t="shared" si="12"/>
        <v>2.453097143035094</v>
      </c>
      <c r="C83">
        <v>21978</v>
      </c>
      <c r="D83">
        <v>1911</v>
      </c>
      <c r="E83">
        <v>79</v>
      </c>
      <c r="F83">
        <v>190</v>
      </c>
      <c r="G83">
        <f t="shared" si="13"/>
        <v>0.14285714285714285</v>
      </c>
    </row>
    <row r="84" spans="1:7" ht="12.75">
      <c r="A84">
        <v>300</v>
      </c>
      <c r="B84">
        <f t="shared" si="12"/>
        <v>2.712608897620018</v>
      </c>
      <c r="C84">
        <v>7816</v>
      </c>
      <c r="D84">
        <v>1924</v>
      </c>
      <c r="E84">
        <v>76</v>
      </c>
      <c r="F84">
        <v>137</v>
      </c>
      <c r="G84">
        <f t="shared" si="13"/>
        <v>0.11234177215189874</v>
      </c>
    </row>
    <row r="90" spans="1:4" ht="12.75">
      <c r="A90" t="s">
        <v>16</v>
      </c>
      <c r="B90" t="s">
        <v>87</v>
      </c>
      <c r="C90" s="3"/>
      <c r="D90" s="3"/>
    </row>
    <row r="92" spans="1:7" ht="12.75">
      <c r="A92" t="s">
        <v>0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</row>
    <row r="93" spans="1:15" ht="12.75">
      <c r="A93">
        <v>102</v>
      </c>
      <c r="B93">
        <f aca="true" t="shared" si="16" ref="B93:B100">(A93+13.5822)/115.6017</f>
        <v>0.9998313173595198</v>
      </c>
      <c r="C93">
        <v>223355</v>
      </c>
      <c r="D93">
        <v>1777</v>
      </c>
      <c r="E93">
        <v>473</v>
      </c>
      <c r="F93">
        <v>1050</v>
      </c>
      <c r="G93">
        <f aca="true" t="shared" si="17" ref="G93:G100">(F93+E93)/(D93-2*14)</f>
        <v>0.8707833047455689</v>
      </c>
      <c r="N93">
        <v>1.95</v>
      </c>
      <c r="O93">
        <f>0.1348*N93^3-0.8037*N93^2+1.1046*N93+0.4333</f>
        <v>0.5307259000000002</v>
      </c>
    </row>
    <row r="94" spans="1:15" ht="12.75">
      <c r="A94">
        <v>150</v>
      </c>
      <c r="B94">
        <f t="shared" si="16"/>
        <v>1.4150501246953981</v>
      </c>
      <c r="C94">
        <v>78183</v>
      </c>
      <c r="D94">
        <v>1872</v>
      </c>
      <c r="E94">
        <v>427</v>
      </c>
      <c r="F94">
        <v>976</v>
      </c>
      <c r="G94">
        <f t="shared" si="17"/>
        <v>0.7608459869848156</v>
      </c>
      <c r="N94">
        <f aca="true" t="shared" si="18" ref="N94:N100">N93+0.01</f>
        <v>1.96</v>
      </c>
      <c r="O94">
        <f aca="true" t="shared" si="19" ref="O94:O100">0.1348*N94^3-0.8037*N94^2+1.1046*N94+0.4333</f>
        <v>0.5258035328000004</v>
      </c>
    </row>
    <row r="95" spans="1:15" ht="12.75">
      <c r="A95">
        <v>180</v>
      </c>
      <c r="B95">
        <f t="shared" si="16"/>
        <v>1.674561879280322</v>
      </c>
      <c r="C95">
        <v>59245</v>
      </c>
      <c r="D95">
        <v>1790</v>
      </c>
      <c r="E95">
        <v>376</v>
      </c>
      <c r="F95">
        <v>802</v>
      </c>
      <c r="G95">
        <f t="shared" si="17"/>
        <v>0.6685584562996595</v>
      </c>
      <c r="N95">
        <f t="shared" si="18"/>
        <v>1.97</v>
      </c>
      <c r="O95">
        <f t="shared" si="19"/>
        <v>0.5208789504000002</v>
      </c>
    </row>
    <row r="96" spans="1:15" ht="12.75">
      <c r="A96">
        <v>210</v>
      </c>
      <c r="B96">
        <f t="shared" si="16"/>
        <v>1.934073633865246</v>
      </c>
      <c r="C96">
        <v>64512</v>
      </c>
      <c r="D96">
        <v>1849</v>
      </c>
      <c r="E96">
        <v>300</v>
      </c>
      <c r="F96">
        <v>701</v>
      </c>
      <c r="G96">
        <f t="shared" si="17"/>
        <v>0.5496979681493684</v>
      </c>
      <c r="N96">
        <f t="shared" si="18"/>
        <v>1.98</v>
      </c>
      <c r="O96">
        <f t="shared" si="19"/>
        <v>0.5159529615999996</v>
      </c>
    </row>
    <row r="97" spans="1:15" ht="12.75">
      <c r="A97">
        <v>240</v>
      </c>
      <c r="B97">
        <f t="shared" si="16"/>
        <v>2.19358538845017</v>
      </c>
      <c r="C97">
        <v>52122</v>
      </c>
      <c r="D97">
        <v>1851</v>
      </c>
      <c r="E97">
        <v>223</v>
      </c>
      <c r="F97">
        <v>496</v>
      </c>
      <c r="G97">
        <f t="shared" si="17"/>
        <v>0.39440482720789904</v>
      </c>
      <c r="N97">
        <f t="shared" si="18"/>
        <v>1.99</v>
      </c>
      <c r="O97">
        <f t="shared" si="19"/>
        <v>0.5110263752000002</v>
      </c>
    </row>
    <row r="98" spans="1:15" ht="12.75">
      <c r="A98">
        <v>270</v>
      </c>
      <c r="B98">
        <f t="shared" si="16"/>
        <v>2.453097143035094</v>
      </c>
      <c r="C98">
        <v>38433</v>
      </c>
      <c r="D98">
        <v>1837</v>
      </c>
      <c r="E98">
        <v>163</v>
      </c>
      <c r="F98">
        <v>392</v>
      </c>
      <c r="G98">
        <f t="shared" si="17"/>
        <v>0.3067993366500829</v>
      </c>
      <c r="N98">
        <f t="shared" si="18"/>
        <v>2</v>
      </c>
      <c r="O98">
        <f t="shared" si="19"/>
        <v>0.5061</v>
      </c>
    </row>
    <row r="99" spans="1:15" ht="12.75">
      <c r="A99">
        <v>300</v>
      </c>
      <c r="B99">
        <f t="shared" si="16"/>
        <v>2.712608897620018</v>
      </c>
      <c r="C99">
        <v>17067</v>
      </c>
      <c r="D99">
        <v>1774</v>
      </c>
      <c r="E99">
        <v>103</v>
      </c>
      <c r="F99">
        <v>254</v>
      </c>
      <c r="G99">
        <f t="shared" si="17"/>
        <v>0.20446735395189003</v>
      </c>
      <c r="N99" s="2">
        <f t="shared" si="18"/>
        <v>2.01</v>
      </c>
      <c r="O99" s="2">
        <f t="shared" si="19"/>
        <v>0.5011746448000007</v>
      </c>
    </row>
    <row r="100" spans="1:15" ht="12.75">
      <c r="A100">
        <v>330</v>
      </c>
      <c r="B100">
        <f t="shared" si="16"/>
        <v>2.972120652204942</v>
      </c>
      <c r="C100">
        <v>9448</v>
      </c>
      <c r="D100">
        <v>1885</v>
      </c>
      <c r="E100">
        <v>89</v>
      </c>
      <c r="F100">
        <v>203</v>
      </c>
      <c r="G100">
        <f t="shared" si="17"/>
        <v>0.15724286483575659</v>
      </c>
      <c r="N100">
        <f t="shared" si="18"/>
        <v>2.0199999999999996</v>
      </c>
      <c r="O100">
        <f t="shared" si="19"/>
        <v>0.49625111840000047</v>
      </c>
    </row>
    <row r="107" spans="1:4" ht="12.75">
      <c r="A107" t="s">
        <v>18</v>
      </c>
      <c r="B107" t="s">
        <v>88</v>
      </c>
      <c r="C107" s="3"/>
      <c r="D107" s="3"/>
    </row>
    <row r="109" spans="1:7" ht="12.75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</row>
    <row r="110" spans="1:15" ht="12.75">
      <c r="A110">
        <v>102</v>
      </c>
      <c r="B110">
        <f aca="true" t="shared" si="20" ref="B110:B117">(A110+13.5822)/115.6017</f>
        <v>0.9998313173595198</v>
      </c>
      <c r="C110">
        <v>597902</v>
      </c>
      <c r="D110">
        <v>1762</v>
      </c>
      <c r="E110">
        <v>520</v>
      </c>
      <c r="F110">
        <v>1081</v>
      </c>
      <c r="G110">
        <f aca="true" t="shared" si="21" ref="G110:G117">(F110+E110)/(D110-2*14)</f>
        <v>0.9232987312572087</v>
      </c>
      <c r="N110">
        <v>2.25</v>
      </c>
      <c r="O110">
        <f>0.0624*N110^3-0.4053*N110^2+0.4676*N110+0.7967</f>
        <v>0.5077437500000002</v>
      </c>
    </row>
    <row r="111" spans="1:15" ht="12.75">
      <c r="A111">
        <v>180</v>
      </c>
      <c r="B111">
        <f t="shared" si="20"/>
        <v>1.674561879280322</v>
      </c>
      <c r="C111">
        <v>58058</v>
      </c>
      <c r="D111">
        <v>1860</v>
      </c>
      <c r="E111">
        <v>395</v>
      </c>
      <c r="F111">
        <v>936</v>
      </c>
      <c r="G111">
        <f t="shared" si="21"/>
        <v>0.726528384279476</v>
      </c>
      <c r="N111">
        <f aca="true" t="shared" si="22" ref="N111:N117">N110+0.01</f>
        <v>2.26</v>
      </c>
      <c r="O111">
        <f aca="true" t="shared" si="23" ref="O111:O118">0.0624*N111^3-0.4053*N111^2+0.4676*N111+0.7967</f>
        <v>0.5036599024000001</v>
      </c>
    </row>
    <row r="112" spans="1:15" ht="12.75">
      <c r="A112">
        <v>210</v>
      </c>
      <c r="B112">
        <f t="shared" si="20"/>
        <v>1.934073633865246</v>
      </c>
      <c r="C112">
        <v>69494</v>
      </c>
      <c r="D112">
        <v>1875</v>
      </c>
      <c r="E112">
        <v>362</v>
      </c>
      <c r="F112">
        <v>816</v>
      </c>
      <c r="G112">
        <f t="shared" si="21"/>
        <v>0.6377910124526259</v>
      </c>
      <c r="N112" s="2">
        <f t="shared" si="22"/>
        <v>2.2699999999999996</v>
      </c>
      <c r="O112" s="2">
        <f t="shared" si="23"/>
        <v>0.4995796092000002</v>
      </c>
    </row>
    <row r="113" spans="1:15" ht="12.75">
      <c r="A113">
        <v>240</v>
      </c>
      <c r="B113">
        <f t="shared" si="20"/>
        <v>2.19358538845017</v>
      </c>
      <c r="C113">
        <v>69448</v>
      </c>
      <c r="D113">
        <v>1971</v>
      </c>
      <c r="E113">
        <v>322</v>
      </c>
      <c r="F113">
        <v>725</v>
      </c>
      <c r="G113">
        <f t="shared" si="21"/>
        <v>0.5388574369531652</v>
      </c>
      <c r="N113">
        <f t="shared" si="22"/>
        <v>2.2799999999999994</v>
      </c>
      <c r="O113">
        <f t="shared" si="23"/>
        <v>0.4955032448000003</v>
      </c>
    </row>
    <row r="114" spans="1:15" ht="12.75">
      <c r="A114">
        <v>270</v>
      </c>
      <c r="B114">
        <f t="shared" si="20"/>
        <v>2.453097143035094</v>
      </c>
      <c r="C114">
        <v>25582</v>
      </c>
      <c r="D114">
        <v>1855</v>
      </c>
      <c r="E114">
        <v>235</v>
      </c>
      <c r="F114">
        <v>556</v>
      </c>
      <c r="G114">
        <f t="shared" si="21"/>
        <v>0.4329501915708812</v>
      </c>
      <c r="N114">
        <f t="shared" si="22"/>
        <v>2.289999999999999</v>
      </c>
      <c r="O114">
        <f t="shared" si="23"/>
        <v>0.49143118360000027</v>
      </c>
    </row>
    <row r="115" spans="1:15" ht="12.75">
      <c r="A115">
        <v>300</v>
      </c>
      <c r="B115">
        <f t="shared" si="20"/>
        <v>2.712608897620018</v>
      </c>
      <c r="C115">
        <v>30269</v>
      </c>
      <c r="D115">
        <v>1875</v>
      </c>
      <c r="E115">
        <v>171</v>
      </c>
      <c r="F115">
        <v>427</v>
      </c>
      <c r="G115">
        <f t="shared" si="21"/>
        <v>0.3237682728749323</v>
      </c>
      <c r="N115">
        <f t="shared" si="22"/>
        <v>2.299999999999999</v>
      </c>
      <c r="O115">
        <f t="shared" si="23"/>
        <v>0.48736380000000046</v>
      </c>
    </row>
    <row r="116" spans="1:15" ht="12.75">
      <c r="A116">
        <v>330</v>
      </c>
      <c r="B116">
        <f t="shared" si="20"/>
        <v>2.972120652204942</v>
      </c>
      <c r="C116">
        <v>14940</v>
      </c>
      <c r="D116">
        <v>1863</v>
      </c>
      <c r="E116">
        <v>123</v>
      </c>
      <c r="F116">
        <v>302</v>
      </c>
      <c r="G116">
        <f t="shared" si="21"/>
        <v>0.23160762942779292</v>
      </c>
      <c r="N116">
        <f t="shared" si="22"/>
        <v>2.3099999999999987</v>
      </c>
      <c r="O116">
        <f t="shared" si="23"/>
        <v>0.48330146840000077</v>
      </c>
    </row>
    <row r="117" spans="1:15" ht="12.75">
      <c r="A117">
        <v>360</v>
      </c>
      <c r="B117">
        <f t="shared" si="20"/>
        <v>3.2316324067898656</v>
      </c>
      <c r="C117">
        <v>10944</v>
      </c>
      <c r="D117">
        <v>1934</v>
      </c>
      <c r="E117">
        <v>115</v>
      </c>
      <c r="F117">
        <v>243</v>
      </c>
      <c r="G117">
        <f t="shared" si="21"/>
        <v>0.18782791185729275</v>
      </c>
      <c r="N117">
        <f t="shared" si="22"/>
        <v>2.3199999999999985</v>
      </c>
      <c r="O117">
        <f t="shared" si="23"/>
        <v>0.4792445632000004</v>
      </c>
    </row>
    <row r="118" spans="14:15" ht="12.75">
      <c r="N118">
        <v>1</v>
      </c>
      <c r="O118">
        <f t="shared" si="23"/>
        <v>0.9214</v>
      </c>
    </row>
    <row r="123" ht="12.75">
      <c r="A123" t="s">
        <v>19</v>
      </c>
    </row>
    <row r="125" spans="1:7" ht="12.7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</row>
    <row r="126" spans="1:2" ht="12.75">
      <c r="A126">
        <v>102</v>
      </c>
      <c r="B126">
        <f aca="true" t="shared" si="24" ref="B126:B133">(A126+13.5822)/115.6017</f>
        <v>0.9998313173595198</v>
      </c>
    </row>
    <row r="127" spans="1:2" ht="12.75">
      <c r="A127">
        <v>210</v>
      </c>
      <c r="B127">
        <f t="shared" si="24"/>
        <v>1.934073633865246</v>
      </c>
    </row>
    <row r="128" spans="1:2" ht="12.75">
      <c r="A128">
        <v>240</v>
      </c>
      <c r="B128">
        <f t="shared" si="24"/>
        <v>2.19358538845017</v>
      </c>
    </row>
    <row r="129" spans="1:2" ht="12.75">
      <c r="A129">
        <v>270</v>
      </c>
      <c r="B129">
        <f t="shared" si="24"/>
        <v>2.453097143035094</v>
      </c>
    </row>
    <row r="130" spans="1:2" ht="12.75">
      <c r="A130">
        <v>300</v>
      </c>
      <c r="B130">
        <f t="shared" si="24"/>
        <v>2.712608897620018</v>
      </c>
    </row>
    <row r="131" spans="1:2" ht="12.75">
      <c r="A131">
        <v>330</v>
      </c>
      <c r="B131">
        <f t="shared" si="24"/>
        <v>2.972120652204942</v>
      </c>
    </row>
    <row r="132" spans="1:2" ht="12.75">
      <c r="A132">
        <v>360</v>
      </c>
      <c r="B132">
        <f t="shared" si="24"/>
        <v>3.2316324067898656</v>
      </c>
    </row>
    <row r="133" spans="1:2" ht="12.75">
      <c r="A133">
        <v>390</v>
      </c>
      <c r="B133">
        <f t="shared" si="24"/>
        <v>3.49114416137479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2006-08-14T21:50:42Z</cp:lastPrinted>
  <dcterms:created xsi:type="dcterms:W3CDTF">1996-10-14T23:33:28Z</dcterms:created>
  <dcterms:modified xsi:type="dcterms:W3CDTF">2006-11-21T01:14:56Z</dcterms:modified>
  <cp:category/>
  <cp:version/>
  <cp:contentType/>
  <cp:contentStatus/>
</cp:coreProperties>
</file>