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104" windowHeight="5376" activeTab="0"/>
  </bookViews>
  <sheets>
    <sheet name="summary" sheetId="1" r:id="rId1"/>
    <sheet name="PMFE edge" sheetId="2" r:id="rId2"/>
    <sheet name="far edge" sheetId="3" r:id="rId3"/>
    <sheet name="center" sheetId="4" r:id="rId4"/>
    <sheet name="Calibration" sheetId="5" r:id="rId5"/>
  </sheets>
  <definedNames>
    <definedName name="gain" localSheetId="3">'center'!$D$2</definedName>
    <definedName name="gain" localSheetId="2">'far edge'!$D$2</definedName>
    <definedName name="gain" localSheetId="1">'PMFE edge'!$D$2</definedName>
    <definedName name="gain">#REF!</definedName>
    <definedName name="offset" localSheetId="3">'center'!$E$2</definedName>
    <definedName name="offset" localSheetId="2">'far edge'!$E$2</definedName>
    <definedName name="offset" localSheetId="1">'PMFE edge'!$E$2</definedName>
    <definedName name="offset">#REF!</definedName>
  </definedNames>
  <calcPr fullCalcOnLoad="1"/>
</workbook>
</file>

<file path=xl/sharedStrings.xml><?xml version="1.0" encoding="utf-8"?>
<sst xmlns="http://schemas.openxmlformats.org/spreadsheetml/2006/main" count="333" uniqueCount="29">
  <si>
    <t>V_thresh</t>
  </si>
  <si>
    <t>Q_thresh</t>
  </si>
  <si>
    <t>non_zero</t>
  </si>
  <si>
    <t>zero</t>
  </si>
  <si>
    <t>missing</t>
  </si>
  <si>
    <t>coin</t>
  </si>
  <si>
    <t>corr_eff</t>
  </si>
  <si>
    <t>gain</t>
  </si>
  <si>
    <t>offset</t>
  </si>
  <si>
    <t>V = 20</t>
  </si>
  <si>
    <t>V</t>
  </si>
  <si>
    <t>eff at 1 fC</t>
  </si>
  <si>
    <t>med Q</t>
  </si>
  <si>
    <t>center</t>
  </si>
  <si>
    <t>2551-7 #13 Fz detector</t>
  </si>
  <si>
    <t>V = 15</t>
  </si>
  <si>
    <t>V = 10</t>
  </si>
  <si>
    <t>V = 5</t>
  </si>
  <si>
    <t>V = 7</t>
  </si>
  <si>
    <t>V = 30</t>
  </si>
  <si>
    <t>V = 50</t>
  </si>
  <si>
    <t>V = 70</t>
  </si>
  <si>
    <t>V = 90</t>
  </si>
  <si>
    <t>V = 110</t>
  </si>
  <si>
    <t>V = 60</t>
  </si>
  <si>
    <t>V = 40</t>
  </si>
  <si>
    <t>V = 3</t>
  </si>
  <si>
    <t>far edge</t>
  </si>
  <si>
    <t>PMFE edge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</si>
</sst>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vertAlign val="superscript"/>
      <sz val="8"/>
      <name val="Arial"/>
      <family val="0"/>
    </font>
    <font>
      <vertAlign val="superscript"/>
      <sz val="8.75"/>
      <name val="Arial"/>
      <family val="0"/>
    </font>
    <font>
      <vertAlign val="superscript"/>
      <sz val="8.5"/>
      <name val="Arial"/>
      <family val="0"/>
    </font>
    <font>
      <b/>
      <sz val="11.2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9.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at 1 fC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975"/>
          <c:w val="0.90375"/>
          <c:h val="0.7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center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summary!$B$3:$B$14</c:f>
              <c:numCache/>
            </c:numRef>
          </c:xVal>
          <c:yVal>
            <c:numRef>
              <c:f>summary!$C$3:$C$14</c:f>
              <c:numCache/>
            </c:numRef>
          </c:yVal>
          <c:smooth val="1"/>
        </c:ser>
        <c:ser>
          <c:idx val="1"/>
          <c:order val="1"/>
          <c:tx>
            <c:strRef>
              <c:f>summary!$B$17</c:f>
              <c:strCache>
                <c:ptCount val="1"/>
                <c:pt idx="0">
                  <c:v>far edge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summary!$B$19:$B$30</c:f>
              <c:numCache/>
            </c:numRef>
          </c:xVal>
          <c:yVal>
            <c:numRef>
              <c:f>summary!$C$19:$C$30</c:f>
              <c:numCache/>
            </c:numRef>
          </c:yVal>
          <c:smooth val="1"/>
        </c:ser>
        <c:ser>
          <c:idx val="2"/>
          <c:order val="2"/>
          <c:tx>
            <c:strRef>
              <c:f>summary!$F$1</c:f>
              <c:strCache>
                <c:ptCount val="1"/>
                <c:pt idx="0">
                  <c:v>PMFE edge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summary!$F$3:$F$14</c:f>
              <c:numCache/>
            </c:numRef>
          </c:xVal>
          <c:yVal>
            <c:numRef>
              <c:f>summary!$G$3:$G$14</c:f>
              <c:numCache/>
            </c:numRef>
          </c:yVal>
          <c:smooth val="1"/>
        </c:ser>
        <c:axId val="20823945"/>
        <c:axId val="53197778"/>
      </c:scatterChart>
      <c:valAx>
        <c:axId val="2082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97778"/>
        <c:crosses val="autoZero"/>
        <c:crossBetween val="midCat"/>
        <c:dispUnits/>
      </c:valAx>
      <c:valAx>
        <c:axId val="53197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eff at 1 fC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239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4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9"/>
          <c:w val="0.887"/>
          <c:h val="0.74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edge'!$A$147</c:f>
              <c:strCache>
                <c:ptCount val="1"/>
                <c:pt idx="0">
                  <c:v>V = 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edge'!$B$150:$B$156</c:f>
              <c:numCache/>
            </c:numRef>
          </c:xVal>
          <c:yVal>
            <c:numRef>
              <c:f>'PMFE edge'!$G$150:$G$156</c:f>
              <c:numCache/>
            </c:numRef>
          </c:yVal>
          <c:smooth val="1"/>
        </c:ser>
        <c:axId val="43552179"/>
        <c:axId val="56425292"/>
      </c:scatterChart>
      <c:valAx>
        <c:axId val="4355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25292"/>
        <c:crosses val="autoZero"/>
        <c:crossBetween val="midCat"/>
        <c:dispUnits/>
      </c:valAx>
      <c:valAx>
        <c:axId val="5642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521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'PMFE edge'!$A$20</c:f>
              <c:strCache>
                <c:ptCount val="1"/>
                <c:pt idx="0">
                  <c:v>V =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edge'!$B$22:$B$25</c:f>
              <c:numCache/>
            </c:numRef>
          </c:xVal>
          <c:yVal>
            <c:numRef>
              <c:f>'PMFE edge'!$G$22:$G$25</c:f>
              <c:numCache/>
            </c:numRef>
          </c:yVal>
          <c:smooth val="1"/>
        </c:ser>
        <c:axId val="38065581"/>
        <c:axId val="7045910"/>
      </c:scatterChart>
      <c:valAx>
        <c:axId val="3806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45910"/>
        <c:crosses val="autoZero"/>
        <c:crossBetween val="midCat"/>
        <c:dispUnits/>
      </c:valAx>
      <c:valAx>
        <c:axId val="704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655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175"/>
          <c:w val="0.891"/>
          <c:h val="0.7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edge'!$A$105</c:f>
              <c:strCache>
                <c:ptCount val="1"/>
                <c:pt idx="0">
                  <c:v>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edge'!$B$108:$B$114</c:f>
              <c:numCache/>
            </c:numRef>
          </c:xVal>
          <c:yVal>
            <c:numRef>
              <c:f>'PMFE edge'!$G$108:$G$114</c:f>
              <c:numCache/>
            </c:numRef>
          </c:yVal>
          <c:smooth val="1"/>
        </c:ser>
        <c:axId val="63413191"/>
        <c:axId val="33847808"/>
      </c:scatterChart>
      <c:valAx>
        <c:axId val="63413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47808"/>
        <c:crosses val="autoZero"/>
        <c:crossBetween val="midCat"/>
        <c:dispUnits/>
      </c:valAx>
      <c:valAx>
        <c:axId val="33847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131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2551-7_ 13 FZ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66"/>
          <c:w val="0.917"/>
          <c:h val="0.7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edge'!$J$1</c:f>
              <c:strCache>
                <c:ptCount val="1"/>
                <c:pt idx="0">
                  <c:v>eff at 1 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'PMFE edge'!$I$2:$I$13</c:f>
              <c:numCache/>
            </c:numRef>
          </c:xVal>
          <c:yVal>
            <c:numRef>
              <c:f>'PMFE edge'!$J$2:$J$13</c:f>
              <c:numCache/>
            </c:numRef>
          </c:yVal>
          <c:smooth val="1"/>
        </c:ser>
        <c:ser>
          <c:idx val="1"/>
          <c:order val="1"/>
          <c:tx>
            <c:strRef>
              <c:f>'PMFE edge'!$K$1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'PMFE edge'!$I$2:$I$13</c:f>
              <c:numCache/>
            </c:numRef>
          </c:xVal>
          <c:yVal>
            <c:numRef>
              <c:f>'PMFE edge'!$K$2:$K$13</c:f>
              <c:numCache/>
            </c:numRef>
          </c:yVal>
          <c:smooth val="1"/>
        </c:ser>
        <c:axId val="36194817"/>
        <c:axId val="57317898"/>
      </c:scatterChart>
      <c:valAx>
        <c:axId val="3619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crossBetween val="midCat"/>
        <c:dispUnits/>
      </c:val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4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975"/>
          <c:w val="0.8892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edge'!$A$79</c:f>
              <c:strCache>
                <c:ptCount val="1"/>
                <c:pt idx="0">
                  <c:v>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edge'!$B$82:$B$87</c:f>
              <c:numCache/>
            </c:numRef>
          </c:xVal>
          <c:yVal>
            <c:numRef>
              <c:f>'PMFE edge'!$G$82:$G$87</c:f>
              <c:numCache/>
            </c:numRef>
          </c:yVal>
          <c:smooth val="1"/>
        </c:ser>
        <c:axId val="46099035"/>
        <c:axId val="12238132"/>
      </c:scatterChart>
      <c:val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crossBetween val="midCat"/>
        <c:dispUnits/>
      </c:val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4475"/>
          <c:w val="0.88225"/>
          <c:h val="0.7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edge'!$A$40</c:f>
              <c:strCache>
                <c:ptCount val="1"/>
                <c:pt idx="0">
                  <c:v>V =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edge'!$B$42:$B$47</c:f>
              <c:numCache>
                <c:ptCount val="6"/>
                <c:pt idx="0">
                  <c:v>1.020305135522978</c:v>
                </c:pt>
                <c:pt idx="1">
                  <c:v>1.4606665674105976</c:v>
                </c:pt>
                <c:pt idx="2">
                  <c:v>1.7248834265431694</c:v>
                </c:pt>
                <c:pt idx="3">
                  <c:v>1.9891002856757412</c:v>
                </c:pt>
                <c:pt idx="4">
                  <c:v>2.253317144808313</c:v>
                </c:pt>
                <c:pt idx="5">
                  <c:v>2.517534003940885</c:v>
                </c:pt>
              </c:numCache>
            </c:numRef>
          </c:xVal>
          <c:yVal>
            <c:numRef>
              <c:f>'far edge'!$G$42:$G$47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43034325"/>
        <c:axId val="51764606"/>
      </c:scatterChart>
      <c:valAx>
        <c:axId val="4303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64606"/>
        <c:crosses val="autoZero"/>
        <c:crossBetween val="midCat"/>
        <c:dispUnits/>
      </c:valAx>
      <c:valAx>
        <c:axId val="5176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5825"/>
          <c:w val="0.8762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edge'!$A$31</c:f>
              <c:strCache>
                <c:ptCount val="1"/>
                <c:pt idx="0">
                  <c:v>V =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edge'!$B$33:$B$36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'far edge'!$G$33:$G$36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3228271"/>
        <c:axId val="32183528"/>
      </c:scatterChart>
      <c:valAx>
        <c:axId val="63228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83528"/>
        <c:crosses val="autoZero"/>
        <c:crossBetween val="midCat"/>
        <c:dispUnits/>
      </c:valAx>
      <c:valAx>
        <c:axId val="3218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05"/>
          <c:w val="0.8875"/>
          <c:h val="0.72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edge'!$A$52</c:f>
              <c:strCache>
                <c:ptCount val="1"/>
                <c:pt idx="0">
                  <c:v>V =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edge'!$B$55:$B$59</c:f>
              <c:numCache>
                <c:ptCount val="5"/>
                <c:pt idx="0">
                  <c:v>1.4606665674105976</c:v>
                </c:pt>
                <c:pt idx="1">
                  <c:v>1.7248834265431694</c:v>
                </c:pt>
                <c:pt idx="2">
                  <c:v>1.9891002856757412</c:v>
                </c:pt>
                <c:pt idx="3">
                  <c:v>2.253317144808313</c:v>
                </c:pt>
                <c:pt idx="4">
                  <c:v>2.517534003940885</c:v>
                </c:pt>
              </c:numCache>
            </c:numRef>
          </c:xVal>
          <c:yVal>
            <c:numRef>
              <c:f>'far edge'!$G$55:$G$59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1216297"/>
        <c:axId val="56728946"/>
      </c:scatterChart>
      <c:valAx>
        <c:axId val="21216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28946"/>
        <c:crosses val="autoZero"/>
        <c:crossBetween val="midCat"/>
        <c:dispUnits/>
      </c:valAx>
      <c:valAx>
        <c:axId val="567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16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9"/>
          <c:w val="0.88175"/>
          <c:h val="0.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edge'!$A$65</c:f>
              <c:strCache>
                <c:ptCount val="1"/>
                <c:pt idx="0">
                  <c:v>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edge'!$B$68:$B$76</c:f>
              <c:numCache>
                <c:ptCount val="9"/>
                <c:pt idx="0">
                  <c:v>1.7248834265431694</c:v>
                </c:pt>
                <c:pt idx="1">
                  <c:v>1.9891002856757412</c:v>
                </c:pt>
                <c:pt idx="2">
                  <c:v>2.253317144808313</c:v>
                </c:pt>
                <c:pt idx="3">
                  <c:v>2.517534003940885</c:v>
                </c:pt>
                <c:pt idx="4">
                  <c:v>2.7817508630734564</c:v>
                </c:pt>
                <c:pt idx="5">
                  <c:v>3.0459677222060284</c:v>
                </c:pt>
                <c:pt idx="6">
                  <c:v>3.3101845813386</c:v>
                </c:pt>
                <c:pt idx="7">
                  <c:v>3.574401440471172</c:v>
                </c:pt>
              </c:numCache>
            </c:numRef>
          </c:xVal>
          <c:yVal>
            <c:numRef>
              <c:f>'far edge'!$G$68:$G$76</c:f>
              <c:numCache>
                <c:ptCount val="9"/>
                <c:pt idx="0">
                  <c:v>0.9096774193548387</c:v>
                </c:pt>
                <c:pt idx="1">
                  <c:v>0.8529591214154972</c:v>
                </c:pt>
                <c:pt idx="2">
                  <c:v>0.7434650455927052</c:v>
                </c:pt>
                <c:pt idx="3">
                  <c:v>0.6148521082441787</c:v>
                </c:pt>
                <c:pt idx="4">
                  <c:v>0.47183098591549294</c:v>
                </c:pt>
                <c:pt idx="5">
                  <c:v>0.36009882643607166</c:v>
                </c:pt>
                <c:pt idx="6">
                  <c:v>0.29981718464351004</c:v>
                </c:pt>
                <c:pt idx="7">
                  <c:v>0.21290711700844392</c:v>
                </c:pt>
              </c:numCache>
            </c:numRef>
          </c:yVal>
          <c:smooth val="1"/>
        </c:ser>
        <c:axId val="40798467"/>
        <c:axId val="31641884"/>
      </c:scatterChart>
      <c:valAx>
        <c:axId val="4079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41884"/>
        <c:crosses val="autoZero"/>
        <c:crossBetween val="midCat"/>
        <c:dispUnits/>
      </c:valAx>
      <c:valAx>
        <c:axId val="3164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984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25"/>
          <c:w val="0.885"/>
          <c:h val="0.7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edge'!$A$121</c:f>
              <c:strCache>
                <c:ptCount val="1"/>
                <c:pt idx="0">
                  <c:v>V = 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edge'!$B$124:$B$131</c:f>
              <c:numCache>
                <c:ptCount val="8"/>
                <c:pt idx="0">
                  <c:v>2.7817508630734564</c:v>
                </c:pt>
                <c:pt idx="1">
                  <c:v>3.0459677222060284</c:v>
                </c:pt>
                <c:pt idx="2">
                  <c:v>3.3101845813386</c:v>
                </c:pt>
                <c:pt idx="3">
                  <c:v>3.574401440471172</c:v>
                </c:pt>
                <c:pt idx="4">
                  <c:v>3.838618299603744</c:v>
                </c:pt>
                <c:pt idx="5">
                  <c:v>4.102835158736315</c:v>
                </c:pt>
                <c:pt idx="6">
                  <c:v>4.367052017868887</c:v>
                </c:pt>
              </c:numCache>
            </c:numRef>
          </c:xVal>
          <c:yVal>
            <c:numRef>
              <c:f>'far edge'!$G$124:$G$131</c:f>
              <c:numCache>
                <c:ptCount val="8"/>
                <c:pt idx="0">
                  <c:v>0.7693651718112988</c:v>
                </c:pt>
                <c:pt idx="1">
                  <c:v>0.7084639498432602</c:v>
                </c:pt>
                <c:pt idx="2">
                  <c:v>0.6381011097410604</c:v>
                </c:pt>
                <c:pt idx="3">
                  <c:v>0.4972341733251383</c:v>
                </c:pt>
                <c:pt idx="4">
                  <c:v>0.40881642512077293</c:v>
                </c:pt>
                <c:pt idx="5">
                  <c:v>0.35353535353535354</c:v>
                </c:pt>
                <c:pt idx="6">
                  <c:v>0.2605140186915888</c:v>
                </c:pt>
              </c:numCache>
            </c:numRef>
          </c:yVal>
          <c:smooth val="1"/>
        </c:ser>
        <c:axId val="16341501"/>
        <c:axId val="12855782"/>
      </c:scatterChart>
      <c:valAx>
        <c:axId val="1634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5782"/>
        <c:crosses val="autoZero"/>
        <c:crossBetween val="midCat"/>
        <c:dispUnits/>
      </c:valAx>
      <c:valAx>
        <c:axId val="1285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41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 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37"/>
          <c:w val="0.91875"/>
          <c:h val="0.80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center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summary!$B$4:$B$14</c:f>
              <c:numCache/>
            </c:numRef>
          </c:xVal>
          <c:yVal>
            <c:numRef>
              <c:f>summary!$D$4:$D$14</c:f>
              <c:numCache/>
            </c:numRef>
          </c:yVal>
          <c:smooth val="1"/>
        </c:ser>
        <c:ser>
          <c:idx val="1"/>
          <c:order val="1"/>
          <c:tx>
            <c:strRef>
              <c:f>summary!$B$17</c:f>
              <c:strCache>
                <c:ptCount val="1"/>
                <c:pt idx="0">
                  <c:v>far edge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summary!$B$20:$B$30</c:f>
              <c:numCache/>
            </c:numRef>
          </c:xVal>
          <c:yVal>
            <c:numRef>
              <c:f>summary!$D$20:$D$30</c:f>
              <c:numCache/>
            </c:numRef>
          </c:yVal>
          <c:smooth val="1"/>
        </c:ser>
        <c:ser>
          <c:idx val="2"/>
          <c:order val="2"/>
          <c:tx>
            <c:strRef>
              <c:f>summary!$F$1</c:f>
              <c:strCache>
                <c:ptCount val="1"/>
                <c:pt idx="0">
                  <c:v>PMFE edge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summary!$F$4:$F$14</c:f>
              <c:numCache/>
            </c:numRef>
          </c:xVal>
          <c:yVal>
            <c:numRef>
              <c:f>summary!$H$4:$H$14</c:f>
              <c:numCache/>
            </c:numRef>
          </c:yVal>
          <c:smooth val="1"/>
        </c:ser>
        <c:axId val="9017955"/>
        <c:axId val="14052732"/>
      </c:scatterChart>
      <c:valAx>
        <c:axId val="901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52732"/>
        <c:crosses val="autoZero"/>
        <c:crossBetween val="midCat"/>
        <c:dispUnits/>
      </c:valAx>
      <c:valAx>
        <c:axId val="1405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79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56175"/>
          <c:w val="0.26425"/>
          <c:h val="0.2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67"/>
          <c:w val="0.8805"/>
          <c:h val="0.6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edge'!$A$92</c:f>
              <c:strCache>
                <c:ptCount val="1"/>
                <c:pt idx="0">
                  <c:v>V =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edge'!$B$95:$B$101</c:f>
              <c:numCache>
                <c:ptCount val="7"/>
                <c:pt idx="0">
                  <c:v>2.517534003940885</c:v>
                </c:pt>
                <c:pt idx="1">
                  <c:v>2.7817508630734564</c:v>
                </c:pt>
                <c:pt idx="2">
                  <c:v>3.0459677222060284</c:v>
                </c:pt>
                <c:pt idx="3">
                  <c:v>3.3101845813386</c:v>
                </c:pt>
                <c:pt idx="4">
                  <c:v>3.574401440471172</c:v>
                </c:pt>
                <c:pt idx="5">
                  <c:v>3.838618299603744</c:v>
                </c:pt>
                <c:pt idx="6">
                  <c:v>4.102835158736315</c:v>
                </c:pt>
              </c:numCache>
            </c:numRef>
          </c:xVal>
          <c:yVal>
            <c:numRef>
              <c:f>'far edge'!$G$95:$G$101</c:f>
              <c:numCache>
                <c:ptCount val="7"/>
                <c:pt idx="0">
                  <c:v>0.835323695788812</c:v>
                </c:pt>
                <c:pt idx="1">
                  <c:v>0.7612393681652491</c:v>
                </c:pt>
                <c:pt idx="2">
                  <c:v>0.6918429003021148</c:v>
                </c:pt>
                <c:pt idx="3">
                  <c:v>0.5737410071942446</c:v>
                </c:pt>
                <c:pt idx="4">
                  <c:v>0.4793289394847214</c:v>
                </c:pt>
                <c:pt idx="5">
                  <c:v>0.3747016706443914</c:v>
                </c:pt>
                <c:pt idx="6">
                  <c:v>0.3103229892336922</c:v>
                </c:pt>
              </c:numCache>
            </c:numRef>
          </c:yVal>
          <c:smooth val="1"/>
        </c:ser>
        <c:axId val="48593175"/>
        <c:axId val="34685392"/>
      </c:scatterChart>
      <c:valAx>
        <c:axId val="4859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5392"/>
        <c:crosses val="autoZero"/>
        <c:crossBetween val="midCat"/>
        <c:dispUnits/>
      </c:valAx>
      <c:valAx>
        <c:axId val="3468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31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7175"/>
          <c:w val="0.88025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edge'!$A$134</c:f>
              <c:strCache>
                <c:ptCount val="1"/>
                <c:pt idx="0">
                  <c:v>V =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edge'!$B$137:$B$142</c:f>
              <c:numCache>
                <c:ptCount val="6"/>
                <c:pt idx="0">
                  <c:v>3.0459677222060284</c:v>
                </c:pt>
                <c:pt idx="1">
                  <c:v>3.3101845813386</c:v>
                </c:pt>
                <c:pt idx="2">
                  <c:v>3.574401440471172</c:v>
                </c:pt>
                <c:pt idx="3">
                  <c:v>3.838618299603744</c:v>
                </c:pt>
                <c:pt idx="4">
                  <c:v>4.102835158736315</c:v>
                </c:pt>
                <c:pt idx="5">
                  <c:v>4.367052017868887</c:v>
                </c:pt>
              </c:numCache>
            </c:numRef>
          </c:xVal>
          <c:yVal>
            <c:numRef>
              <c:f>'far edge'!$G$137:$G$142</c:f>
              <c:numCache>
                <c:ptCount val="6"/>
                <c:pt idx="0">
                  <c:v>0.6730885009030705</c:v>
                </c:pt>
                <c:pt idx="1">
                  <c:v>0.5710128055878929</c:v>
                </c:pt>
                <c:pt idx="2">
                  <c:v>0.5097345132743363</c:v>
                </c:pt>
                <c:pt idx="3">
                  <c:v>0.4055627425614489</c:v>
                </c:pt>
                <c:pt idx="4">
                  <c:v>0.32014607425441266</c:v>
                </c:pt>
                <c:pt idx="5">
                  <c:v>0.2669491525423729</c:v>
                </c:pt>
              </c:numCache>
            </c:numRef>
          </c:yVal>
          <c:smooth val="1"/>
        </c:ser>
        <c:axId val="43733073"/>
        <c:axId val="58053338"/>
      </c:scatterChart>
      <c:valAx>
        <c:axId val="4373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53338"/>
        <c:crosses val="autoZero"/>
        <c:crossBetween val="midCat"/>
        <c:dispUnits/>
      </c:valAx>
      <c:valAx>
        <c:axId val="5805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33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9"/>
          <c:w val="0.887"/>
          <c:h val="0.74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edge'!$A$148</c:f>
              <c:strCache>
                <c:ptCount val="1"/>
                <c:pt idx="0">
                  <c:v>V = 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edge'!$B$151:$B$157</c:f>
              <c:numCache>
                <c:ptCount val="7"/>
                <c:pt idx="0">
                  <c:v>3.0459677222060284</c:v>
                </c:pt>
                <c:pt idx="1">
                  <c:v>3.3101845813386</c:v>
                </c:pt>
                <c:pt idx="2">
                  <c:v>3.574401440471172</c:v>
                </c:pt>
                <c:pt idx="3">
                  <c:v>3.838618299603744</c:v>
                </c:pt>
                <c:pt idx="4">
                  <c:v>4.102835158736315</c:v>
                </c:pt>
                <c:pt idx="5">
                  <c:v>4.367052017868887</c:v>
                </c:pt>
              </c:numCache>
            </c:numRef>
          </c:xVal>
          <c:yVal>
            <c:numRef>
              <c:f>'far edge'!$G$151:$G$157</c:f>
              <c:numCache>
                <c:ptCount val="7"/>
                <c:pt idx="0">
                  <c:v>0.6473158551810237</c:v>
                </c:pt>
                <c:pt idx="1">
                  <c:v>0.5911139729555699</c:v>
                </c:pt>
                <c:pt idx="2">
                  <c:v>0.49611011370436864</c:v>
                </c:pt>
                <c:pt idx="3">
                  <c:v>0.3751486325802616</c:v>
                </c:pt>
                <c:pt idx="4">
                  <c:v>0.30668257756563244</c:v>
                </c:pt>
                <c:pt idx="5">
                  <c:v>0.24470018170805571</c:v>
                </c:pt>
              </c:numCache>
            </c:numRef>
          </c:yVal>
          <c:smooth val="1"/>
        </c:ser>
        <c:axId val="52717995"/>
        <c:axId val="4699908"/>
      </c:scatterChart>
      <c:val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9908"/>
        <c:crosses val="autoZero"/>
        <c:crossBetween val="midCat"/>
        <c:dispUnits/>
      </c:valAx>
      <c:valAx>
        <c:axId val="469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17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'far edge'!$A$21</c:f>
              <c:strCache>
                <c:ptCount val="1"/>
                <c:pt idx="0">
                  <c:v>V =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'far edge'!$G$23:$G$26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2299173"/>
        <c:axId val="45148238"/>
      </c:scatterChart>
      <c:valAx>
        <c:axId val="4229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48238"/>
        <c:crosses val="autoZero"/>
        <c:crossBetween val="midCat"/>
        <c:dispUnits/>
      </c:valAx>
      <c:valAx>
        <c:axId val="4514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91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175"/>
          <c:w val="0.891"/>
          <c:h val="0.7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edge'!$A$106</c:f>
              <c:strCache>
                <c:ptCount val="1"/>
                <c:pt idx="0">
                  <c:v>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edge'!$B$109:$B$115</c:f>
              <c:numCache>
                <c:ptCount val="7"/>
                <c:pt idx="0">
                  <c:v>2.7817508630734564</c:v>
                </c:pt>
                <c:pt idx="1">
                  <c:v>3.0459677222060284</c:v>
                </c:pt>
                <c:pt idx="2">
                  <c:v>3.3101845813386</c:v>
                </c:pt>
                <c:pt idx="3">
                  <c:v>3.574401440471172</c:v>
                </c:pt>
                <c:pt idx="4">
                  <c:v>3.838618299603744</c:v>
                </c:pt>
                <c:pt idx="5">
                  <c:v>4.102835158736315</c:v>
                </c:pt>
                <c:pt idx="6">
                  <c:v>4.367052017868887</c:v>
                </c:pt>
              </c:numCache>
            </c:numRef>
          </c:xVal>
          <c:yVal>
            <c:numRef>
              <c:f>'far edge'!$G$109:$G$115</c:f>
              <c:numCache>
                <c:ptCount val="7"/>
                <c:pt idx="0">
                  <c:v>0.8048</c:v>
                </c:pt>
                <c:pt idx="1">
                  <c:v>0.7171888230313294</c:v>
                </c:pt>
                <c:pt idx="2">
                  <c:v>0.6269545793000745</c:v>
                </c:pt>
                <c:pt idx="3">
                  <c:v>0.5288796102992345</c:v>
                </c:pt>
                <c:pt idx="4">
                  <c:v>0.4134815844336345</c:v>
                </c:pt>
                <c:pt idx="5">
                  <c:v>0.34760383386581467</c:v>
                </c:pt>
                <c:pt idx="6">
                  <c:v>0.2715193529751589</c:v>
                </c:pt>
              </c:numCache>
            </c:numRef>
          </c:yVal>
          <c:smooth val="1"/>
        </c:ser>
        <c:axId val="3680959"/>
        <c:axId val="33128632"/>
      </c:scatterChart>
      <c:valAx>
        <c:axId val="368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28632"/>
        <c:crosses val="autoZero"/>
        <c:crossBetween val="midCat"/>
        <c:dispUnits/>
      </c:val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09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2551-7_ 13 FZ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975"/>
          <c:w val="0.915"/>
          <c:h val="0.7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edge'!$J$1</c:f>
              <c:strCache>
                <c:ptCount val="1"/>
                <c:pt idx="0">
                  <c:v>eff at 1 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'far edge'!$I$2:$I$13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'far edge'!$J$2:$J$13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'far edge'!$K$1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'far edge'!$I$2:$I$13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'far edge'!$K$2:$K$13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29722233"/>
        <c:axId val="66173506"/>
      </c:scatterChart>
      <c:val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73506"/>
        <c:crosses val="autoZero"/>
        <c:crossBetween val="midCat"/>
        <c:dispUnits/>
      </c:valAx>
      <c:valAx>
        <c:axId val="661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222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4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975"/>
          <c:w val="0.8892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'far edge'!$A$80</c:f>
              <c:strCache>
                <c:ptCount val="1"/>
                <c:pt idx="0">
                  <c:v>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'far edge'!$B$83:$B$88</c:f>
              <c:numCache>
                <c:ptCount val="6"/>
                <c:pt idx="0">
                  <c:v>2.517534003940885</c:v>
                </c:pt>
                <c:pt idx="1">
                  <c:v>2.7817508630734564</c:v>
                </c:pt>
                <c:pt idx="2">
                  <c:v>3.0459677222060284</c:v>
                </c:pt>
                <c:pt idx="3">
                  <c:v>3.3101845813386</c:v>
                </c:pt>
                <c:pt idx="4">
                  <c:v>3.574401440471172</c:v>
                </c:pt>
                <c:pt idx="5">
                  <c:v>3.838618299603744</c:v>
                </c:pt>
              </c:numCache>
            </c:numRef>
          </c:xVal>
          <c:yVal>
            <c:numRef>
              <c:f>'far edge'!$G$83:$G$88</c:f>
              <c:numCache>
                <c:ptCount val="6"/>
                <c:pt idx="0">
                  <c:v>0.7707462686567165</c:v>
                </c:pt>
                <c:pt idx="1">
                  <c:v>0.6840277777777778</c:v>
                </c:pt>
                <c:pt idx="2">
                  <c:v>0.5677811550151975</c:v>
                </c:pt>
                <c:pt idx="3">
                  <c:v>0.4723740133576199</c:v>
                </c:pt>
                <c:pt idx="4">
                  <c:v>0.3728813559322034</c:v>
                </c:pt>
                <c:pt idx="5">
                  <c:v>0.3027295285359802</c:v>
                </c:pt>
              </c:numCache>
            </c:numRef>
          </c:yVal>
          <c:smooth val="1"/>
        </c:ser>
        <c:axId val="58690643"/>
        <c:axId val="58453740"/>
      </c:scatterChart>
      <c:val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53740"/>
        <c:crosses val="autoZero"/>
        <c:crossBetween val="midCat"/>
        <c:dispUnits/>
      </c:valAx>
      <c:valAx>
        <c:axId val="58453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90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4475"/>
          <c:w val="0.88225"/>
          <c:h val="0.7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center!$A$40</c:f>
              <c:strCache>
                <c:ptCount val="1"/>
                <c:pt idx="0">
                  <c:v>V =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center!$B$42:$B$45</c:f>
              <c:numCache>
                <c:ptCount val="4"/>
                <c:pt idx="0">
                  <c:v>1.020305135522978</c:v>
                </c:pt>
                <c:pt idx="1">
                  <c:v>1.4606665674105976</c:v>
                </c:pt>
                <c:pt idx="2">
                  <c:v>1.7248834265431694</c:v>
                </c:pt>
                <c:pt idx="3">
                  <c:v>1.9891002856757412</c:v>
                </c:pt>
              </c:numCache>
            </c:numRef>
          </c:xVal>
          <c:yVal>
            <c:numRef>
              <c:f>center!$G$42:$G$45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6321613"/>
        <c:axId val="37132470"/>
      </c:scatterChart>
      <c:val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crossBetween val="midCat"/>
        <c:dispUnits/>
      </c:valAx>
      <c:valAx>
        <c:axId val="37132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1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5825"/>
          <c:w val="0.8762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center!$A$31</c:f>
              <c:strCache>
                <c:ptCount val="1"/>
                <c:pt idx="0">
                  <c:v>V =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center!$B$33:$B$35</c:f>
              <c:numCache>
                <c:ptCount val="3"/>
                <c:pt idx="0">
                  <c:v>1.020305135522978</c:v>
                </c:pt>
                <c:pt idx="1">
                  <c:v>1.1964497082780257</c:v>
                </c:pt>
                <c:pt idx="2">
                  <c:v>1.4606665674105976</c:v>
                </c:pt>
              </c:numCache>
            </c:numRef>
          </c:xVal>
          <c:yVal>
            <c:numRef>
              <c:f>center!$G$33:$G$35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65756775"/>
        <c:axId val="54940064"/>
      </c:scatterChart>
      <c:val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crossBetween val="midCat"/>
        <c:dispUnits/>
      </c:valAx>
      <c:valAx>
        <c:axId val="5494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56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05"/>
          <c:w val="0.8875"/>
          <c:h val="0.72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center!$A$52</c:f>
              <c:strCache>
                <c:ptCount val="1"/>
                <c:pt idx="0">
                  <c:v>V =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center!$B$55:$B$59</c:f>
              <c:numCache>
                <c:ptCount val="5"/>
                <c:pt idx="0">
                  <c:v>1.7248834265431694</c:v>
                </c:pt>
                <c:pt idx="1">
                  <c:v>1.9891002856757412</c:v>
                </c:pt>
                <c:pt idx="2">
                  <c:v>2.253317144808313</c:v>
                </c:pt>
                <c:pt idx="3">
                  <c:v>2.517534003940885</c:v>
                </c:pt>
                <c:pt idx="4">
                  <c:v>2.7817508630734564</c:v>
                </c:pt>
              </c:numCache>
            </c:numRef>
          </c:xVal>
          <c:yVal>
            <c:numRef>
              <c:f>center!$G$55:$G$59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4698529"/>
        <c:axId val="20960170"/>
      </c:scatterChart>
      <c:val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crossBetween val="midCat"/>
        <c:dispUnits/>
      </c:valAx>
      <c:valAx>
        <c:axId val="2096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8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4475"/>
          <c:w val="0.88225"/>
          <c:h val="0.7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edge'!$A$39</c:f>
              <c:strCache>
                <c:ptCount val="1"/>
                <c:pt idx="0">
                  <c:v>V =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edge'!$B$41:$B$46</c:f>
              <c:numCache/>
            </c:numRef>
          </c:xVal>
          <c:yVal>
            <c:numRef>
              <c:f>'PMFE edge'!$G$41:$G$46</c:f>
              <c:numCache/>
            </c:numRef>
          </c:yVal>
          <c:smooth val="1"/>
        </c:ser>
        <c:axId val="59365725"/>
        <c:axId val="64529478"/>
      </c:scatterChart>
      <c:valAx>
        <c:axId val="5936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29478"/>
        <c:crosses val="autoZero"/>
        <c:crossBetween val="midCat"/>
        <c:dispUnits/>
      </c:valAx>
      <c:valAx>
        <c:axId val="6452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65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9"/>
          <c:w val="0.88175"/>
          <c:h val="0.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center!$A$65</c:f>
              <c:strCache>
                <c:ptCount val="1"/>
                <c:pt idx="0">
                  <c:v>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center!$B$67:$B$75</c:f>
              <c:numCache>
                <c:ptCount val="9"/>
                <c:pt idx="0">
                  <c:v>1.020305135522978</c:v>
                </c:pt>
                <c:pt idx="1">
                  <c:v>1.7248834265431694</c:v>
                </c:pt>
                <c:pt idx="2">
                  <c:v>1.9891002856757412</c:v>
                </c:pt>
                <c:pt idx="3">
                  <c:v>2.253317144808313</c:v>
                </c:pt>
                <c:pt idx="4">
                  <c:v>2.517534003940885</c:v>
                </c:pt>
                <c:pt idx="5">
                  <c:v>2.7817508630734564</c:v>
                </c:pt>
                <c:pt idx="6">
                  <c:v>3.0459677222060284</c:v>
                </c:pt>
                <c:pt idx="7">
                  <c:v>3.3101845813386</c:v>
                </c:pt>
                <c:pt idx="8">
                  <c:v>3.574401440471172</c:v>
                </c:pt>
              </c:numCache>
            </c:numRef>
          </c:xVal>
          <c:yVal>
            <c:numRef>
              <c:f>center!$G$67:$G$75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4423803"/>
        <c:axId val="20052180"/>
      </c:scatterChart>
      <c:val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52180"/>
        <c:crosses val="autoZero"/>
        <c:crossBetween val="midCat"/>
        <c:dispUnits/>
      </c:valAx>
      <c:valAx>
        <c:axId val="2005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23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515"/>
          <c:w val="0.885"/>
          <c:h val="0.7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center!$A$121</c:f>
              <c:strCache>
                <c:ptCount val="1"/>
                <c:pt idx="0">
                  <c:v>V = 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center!$G$124:$G$131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6251893"/>
        <c:axId val="13613854"/>
      </c:scatterChart>
      <c:val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13854"/>
        <c:crosses val="autoZero"/>
        <c:crossBetween val="midCat"/>
        <c:dispUnits/>
      </c:valAx>
      <c:valAx>
        <c:axId val="1361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1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67"/>
          <c:w val="0.8805"/>
          <c:h val="0.6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center!$A$92</c:f>
              <c:strCache>
                <c:ptCount val="1"/>
                <c:pt idx="0">
                  <c:v>V =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center!$B$95:$B$101</c:f>
              <c:numCache>
                <c:ptCount val="7"/>
                <c:pt idx="0">
                  <c:v>2.517534003940885</c:v>
                </c:pt>
                <c:pt idx="1">
                  <c:v>2.7817508630734564</c:v>
                </c:pt>
                <c:pt idx="2">
                  <c:v>3.0459677222060284</c:v>
                </c:pt>
                <c:pt idx="3">
                  <c:v>3.3101845813386</c:v>
                </c:pt>
                <c:pt idx="4">
                  <c:v>3.574401440471172</c:v>
                </c:pt>
                <c:pt idx="5">
                  <c:v>3.838618299603744</c:v>
                </c:pt>
                <c:pt idx="6">
                  <c:v>4.102835158736315</c:v>
                </c:pt>
              </c:numCache>
            </c:numRef>
          </c:xVal>
          <c:yVal>
            <c:numRef>
              <c:f>center!$G$95:$G$101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5415823"/>
        <c:axId val="28980360"/>
      </c:scatterChart>
      <c:val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80360"/>
        <c:crosses val="autoZero"/>
        <c:crossBetween val="midCat"/>
        <c:dispUnits/>
      </c:valAx>
      <c:valAx>
        <c:axId val="28980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158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7175"/>
          <c:w val="0.88025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center!$A$134</c:f>
              <c:strCache>
                <c:ptCount val="1"/>
                <c:pt idx="0">
                  <c:v>V =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center!$B$137:$B$142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center!$G$137:$G$142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9496649"/>
        <c:axId val="65707794"/>
      </c:scatterChart>
      <c:val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07794"/>
        <c:crosses val="autoZero"/>
        <c:crossBetween val="midCat"/>
        <c:dispUnits/>
      </c:valAx>
      <c:valAx>
        <c:axId val="6570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96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9"/>
          <c:w val="0.887"/>
          <c:h val="0.74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center!$A$148</c:f>
              <c:strCache>
                <c:ptCount val="1"/>
                <c:pt idx="0">
                  <c:v>V = 110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center!$B$151:$B$157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center!$G$151:$G$157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4499235"/>
        <c:axId val="20731068"/>
      </c:scatterChart>
      <c:val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31068"/>
        <c:crosses val="autoZero"/>
        <c:crossBetween val="midCat"/>
        <c:dispUnits/>
      </c:valAx>
      <c:valAx>
        <c:axId val="2073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992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center!$A$21</c:f>
              <c:strCache>
                <c:ptCount val="1"/>
                <c:pt idx="0">
                  <c:v>V =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center!$B$24:$B$26</c:f>
              <c:numCache>
                <c:ptCount val="3"/>
                <c:pt idx="0">
                  <c:v>1.020305135522978</c:v>
                </c:pt>
                <c:pt idx="1">
                  <c:v>1.1964497082780257</c:v>
                </c:pt>
                <c:pt idx="2">
                  <c:v>1.4606665674105976</c:v>
                </c:pt>
              </c:numCache>
            </c:numRef>
          </c:xVal>
          <c:yVal>
            <c:numRef>
              <c:f>center!$G$24:$G$26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2361885"/>
        <c:axId val="1494918"/>
      </c:scatterChart>
      <c:valAx>
        <c:axId val="5236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918"/>
        <c:crosses val="autoZero"/>
        <c:crossBetween val="midCat"/>
        <c:dispUnits/>
      </c:valAx>
      <c:valAx>
        <c:axId val="1494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18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175"/>
          <c:w val="0.891"/>
          <c:h val="0.7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center!$A$106</c:f>
              <c:strCache>
                <c:ptCount val="1"/>
                <c:pt idx="0">
                  <c:v>V =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center!$B$109:$B$115</c:f>
              <c:numCache>
                <c:ptCount val="7"/>
                <c:pt idx="0">
                  <c:v>2.7817508630734564</c:v>
                </c:pt>
                <c:pt idx="1">
                  <c:v>3.0459677222060284</c:v>
                </c:pt>
                <c:pt idx="2">
                  <c:v>3.3101845813386</c:v>
                </c:pt>
                <c:pt idx="3">
                  <c:v>3.574401440471172</c:v>
                </c:pt>
                <c:pt idx="4">
                  <c:v>3.838618299603744</c:v>
                </c:pt>
                <c:pt idx="5">
                  <c:v>4.102835158736315</c:v>
                </c:pt>
                <c:pt idx="6">
                  <c:v>4.367052017868887</c:v>
                </c:pt>
              </c:numCache>
            </c:numRef>
          </c:xVal>
          <c:yVal>
            <c:numRef>
              <c:f>center!$G$109:$G$115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3454263"/>
        <c:axId val="53979504"/>
      </c:scatterChart>
      <c:valAx>
        <c:axId val="1345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9504"/>
        <c:crosses val="autoZero"/>
        <c:crossBetween val="midCat"/>
        <c:dispUnits/>
      </c:valAx>
      <c:valAx>
        <c:axId val="5397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2551-7_ 13 FZ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975"/>
          <c:w val="0.915"/>
          <c:h val="0.7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center!$J$1</c:f>
              <c:strCache>
                <c:ptCount val="1"/>
                <c:pt idx="0">
                  <c:v>eff at 1 fC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center!$I$2:$I$13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center!$J$2:$J$13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center!$K$1</c:f>
              <c:strCache>
                <c:ptCount val="1"/>
                <c:pt idx="0">
                  <c:v>med 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center!$I$2:$I$13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center!$K$2:$K$13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6053489"/>
        <c:axId val="10263674"/>
      </c:scatterChart>
      <c:valAx>
        <c:axId val="1605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63674"/>
        <c:crosses val="autoZero"/>
        <c:crossBetween val="midCat"/>
        <c:dispUnits/>
      </c:valAx>
      <c:valAx>
        <c:axId val="1026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4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975"/>
          <c:w val="0.88925"/>
          <c:h val="0.73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center!$A$80</c:f>
              <c:strCache>
                <c:ptCount val="1"/>
                <c:pt idx="0">
                  <c:v>V =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center!$B$83:$B$88</c:f>
              <c:numCache>
                <c:ptCount val="6"/>
                <c:pt idx="0">
                  <c:v>2.517534003940885</c:v>
                </c:pt>
                <c:pt idx="1">
                  <c:v>2.7817508630734564</c:v>
                </c:pt>
                <c:pt idx="2">
                  <c:v>3.0459677222060284</c:v>
                </c:pt>
                <c:pt idx="3">
                  <c:v>3.3101845813386</c:v>
                </c:pt>
                <c:pt idx="4">
                  <c:v>3.574401440471172</c:v>
                </c:pt>
                <c:pt idx="5">
                  <c:v>3.838618299603744</c:v>
                </c:pt>
              </c:numCache>
            </c:numRef>
          </c:xVal>
          <c:yVal>
            <c:numRef>
              <c:f>center!$G$83:$G$88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25264203"/>
        <c:axId val="26051236"/>
      </c:scatterChart>
      <c:val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1236"/>
        <c:crosses val="autoZero"/>
        <c:crossBetween val="midCat"/>
        <c:dispUnits/>
      </c:valAx>
      <c:valAx>
        <c:axId val="260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5825"/>
          <c:w val="0.87625"/>
          <c:h val="0.75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edge'!$A$30</c:f>
              <c:strCache>
                <c:ptCount val="1"/>
                <c:pt idx="0">
                  <c:v>V =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edge'!$B$32:$B$35</c:f>
              <c:numCache/>
            </c:numRef>
          </c:xVal>
          <c:yVal>
            <c:numRef>
              <c:f>'PMFE edge'!$G$32:$G$35</c:f>
              <c:numCache/>
            </c:numRef>
          </c:yVal>
          <c:smooth val="1"/>
        </c:ser>
        <c:axId val="43894391"/>
        <c:axId val="59505200"/>
      </c:scatterChart>
      <c:valAx>
        <c:axId val="4389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5200"/>
        <c:crosses val="autoZero"/>
        <c:crossBetween val="midCat"/>
        <c:dispUnits/>
      </c:valAx>
      <c:valAx>
        <c:axId val="5950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43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05"/>
          <c:w val="0.8875"/>
          <c:h val="0.72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edge'!$A$51</c:f>
              <c:strCache>
                <c:ptCount val="1"/>
                <c:pt idx="0">
                  <c:v>V =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edge'!$B$54:$B$58</c:f>
              <c:numCache/>
            </c:numRef>
          </c:xVal>
          <c:yVal>
            <c:numRef>
              <c:f>'PMFE edge'!$G$54:$G$58</c:f>
              <c:numCache/>
            </c:numRef>
          </c:yVal>
          <c:smooth val="1"/>
        </c:ser>
        <c:axId val="65784753"/>
        <c:axId val="55191866"/>
      </c:scatterChart>
      <c:valAx>
        <c:axId val="6578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1866"/>
        <c:crosses val="autoZero"/>
        <c:crossBetween val="midCat"/>
        <c:dispUnits/>
      </c:valAx>
      <c:valAx>
        <c:axId val="5519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84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9"/>
          <c:w val="0.88175"/>
          <c:h val="0.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edge'!$A$64</c:f>
              <c:strCache>
                <c:ptCount val="1"/>
                <c:pt idx="0">
                  <c:v>V =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edge'!$B$67:$B$75</c:f>
              <c:numCache/>
            </c:numRef>
          </c:xVal>
          <c:yVal>
            <c:numRef>
              <c:f>'PMFE edge'!$G$67:$G$75</c:f>
              <c:numCache/>
            </c:numRef>
          </c:yVal>
          <c:smooth val="1"/>
        </c:ser>
        <c:axId val="26964747"/>
        <c:axId val="41356132"/>
      </c:scatterChart>
      <c:valAx>
        <c:axId val="26964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56132"/>
        <c:crosses val="autoZero"/>
        <c:crossBetween val="midCat"/>
        <c:dispUnits/>
      </c:valAx>
      <c:valAx>
        <c:axId val="4135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647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25"/>
          <c:w val="0.885"/>
          <c:h val="0.7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edge'!$A$120</c:f>
              <c:strCache>
                <c:ptCount val="1"/>
                <c:pt idx="0">
                  <c:v>V = 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edge'!$B$123:$B$130</c:f>
              <c:numCache/>
            </c:numRef>
          </c:xVal>
          <c:yVal>
            <c:numRef>
              <c:f>'PMFE edge'!$G$123:$G$130</c:f>
              <c:numCache/>
            </c:numRef>
          </c:yVal>
          <c:smooth val="1"/>
        </c:ser>
        <c:axId val="36660869"/>
        <c:axId val="61512366"/>
      </c:scatterChart>
      <c:valAx>
        <c:axId val="3666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12366"/>
        <c:crosses val="autoZero"/>
        <c:crossBetween val="midCat"/>
        <c:dispUnits/>
      </c:valAx>
      <c:valAx>
        <c:axId val="6151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0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67"/>
          <c:w val="0.8805"/>
          <c:h val="0.6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edge'!$A$91</c:f>
              <c:strCache>
                <c:ptCount val="1"/>
                <c:pt idx="0">
                  <c:v>V =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edge'!$B$94:$B$100</c:f>
              <c:numCache/>
            </c:numRef>
          </c:xVal>
          <c:yVal>
            <c:numRef>
              <c:f>'PMFE edge'!$G$94:$G$100</c:f>
              <c:numCache/>
            </c:numRef>
          </c:yVal>
          <c:smooth val="1"/>
        </c:ser>
        <c:axId val="16740383"/>
        <c:axId val="16445720"/>
      </c:scatterChart>
      <c:valAx>
        <c:axId val="1674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45720"/>
        <c:crosses val="autoZero"/>
        <c:crossBetween val="midCat"/>
        <c:dispUnits/>
      </c:valAx>
      <c:valAx>
        <c:axId val="1644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403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7175"/>
          <c:w val="0.88025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'PMFE edge'!$A$133</c:f>
              <c:strCache>
                <c:ptCount val="1"/>
                <c:pt idx="0">
                  <c:v>V =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'PMFE edge'!$B$136:$B$141</c:f>
              <c:numCache/>
            </c:numRef>
          </c:xVal>
          <c:yVal>
            <c:numRef>
              <c:f>'PMFE edge'!$G$136:$G$141</c:f>
              <c:numCache/>
            </c:numRef>
          </c:yVal>
          <c:smooth val="1"/>
        </c:ser>
        <c:axId val="13793753"/>
        <c:axId val="57034914"/>
      </c:scatterChart>
      <c:valAx>
        <c:axId val="1379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 thresh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34914"/>
        <c:crosses val="autoZero"/>
        <c:crossBetween val="midCat"/>
        <c:dispUnits/>
      </c:valAx>
      <c:valAx>
        <c:axId val="5703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93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0</xdr:rowOff>
    </xdr:from>
    <xdr:to>
      <xdr:col>14</xdr:col>
      <xdr:colOff>466725</xdr:colOff>
      <xdr:row>17</xdr:row>
      <xdr:rowOff>28575</xdr:rowOff>
    </xdr:to>
    <xdr:graphicFrame>
      <xdr:nvGraphicFramePr>
        <xdr:cNvPr id="1" name="Chart 3"/>
        <xdr:cNvGraphicFramePr/>
      </xdr:nvGraphicFramePr>
      <xdr:xfrm>
        <a:off x="4857750" y="0"/>
        <a:ext cx="4143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16</xdr:row>
      <xdr:rowOff>104775</xdr:rowOff>
    </xdr:from>
    <xdr:to>
      <xdr:col>11</xdr:col>
      <xdr:colOff>400050</xdr:colOff>
      <xdr:row>33</xdr:row>
      <xdr:rowOff>133350</xdr:rowOff>
    </xdr:to>
    <xdr:graphicFrame>
      <xdr:nvGraphicFramePr>
        <xdr:cNvPr id="2" name="Chart 4"/>
        <xdr:cNvGraphicFramePr/>
      </xdr:nvGraphicFramePr>
      <xdr:xfrm>
        <a:off x="2971800" y="2695575"/>
        <a:ext cx="41338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37</xdr:row>
      <xdr:rowOff>104775</xdr:rowOff>
    </xdr:from>
    <xdr:to>
      <xdr:col>12</xdr:col>
      <xdr:colOff>66675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371975" y="6105525"/>
        <a:ext cx="30099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27</xdr:row>
      <xdr:rowOff>0</xdr:rowOff>
    </xdr:from>
    <xdr:to>
      <xdr:col>11</xdr:col>
      <xdr:colOff>552450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4381500" y="4371975"/>
        <a:ext cx="28765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50</xdr:row>
      <xdr:rowOff>19050</xdr:rowOff>
    </xdr:from>
    <xdr:to>
      <xdr:col>12</xdr:col>
      <xdr:colOff>209550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4371975" y="8124825"/>
        <a:ext cx="315277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95250</xdr:colOff>
      <xdr:row>61</xdr:row>
      <xdr:rowOff>142875</xdr:rowOff>
    </xdr:from>
    <xdr:to>
      <xdr:col>12</xdr:col>
      <xdr:colOff>47625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4362450" y="10029825"/>
        <a:ext cx="3000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95250</xdr:colOff>
      <xdr:row>118</xdr:row>
      <xdr:rowOff>19050</xdr:rowOff>
    </xdr:from>
    <xdr:to>
      <xdr:col>12</xdr:col>
      <xdr:colOff>276225</xdr:colOff>
      <xdr:row>130</xdr:row>
      <xdr:rowOff>114300</xdr:rowOff>
    </xdr:to>
    <xdr:graphicFrame>
      <xdr:nvGraphicFramePr>
        <xdr:cNvPr id="5" name="Chart 5"/>
        <xdr:cNvGraphicFramePr/>
      </xdr:nvGraphicFramePr>
      <xdr:xfrm>
        <a:off x="4362450" y="19135725"/>
        <a:ext cx="3228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133350</xdr:colOff>
      <xdr:row>89</xdr:row>
      <xdr:rowOff>114300</xdr:rowOff>
    </xdr:from>
    <xdr:to>
      <xdr:col>12</xdr:col>
      <xdr:colOff>361950</xdr:colOff>
      <xdr:row>103</xdr:row>
      <xdr:rowOff>152400</xdr:rowOff>
    </xdr:to>
    <xdr:graphicFrame>
      <xdr:nvGraphicFramePr>
        <xdr:cNvPr id="6" name="Chart 6"/>
        <xdr:cNvGraphicFramePr/>
      </xdr:nvGraphicFramePr>
      <xdr:xfrm>
        <a:off x="4400550" y="14535150"/>
        <a:ext cx="327660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95250</xdr:colOff>
      <xdr:row>132</xdr:row>
      <xdr:rowOff>38100</xdr:rowOff>
    </xdr:from>
    <xdr:to>
      <xdr:col>12</xdr:col>
      <xdr:colOff>9525</xdr:colOff>
      <xdr:row>144</xdr:row>
      <xdr:rowOff>76200</xdr:rowOff>
    </xdr:to>
    <xdr:graphicFrame>
      <xdr:nvGraphicFramePr>
        <xdr:cNvPr id="7" name="Chart 7"/>
        <xdr:cNvGraphicFramePr/>
      </xdr:nvGraphicFramePr>
      <xdr:xfrm>
        <a:off x="4362450" y="21421725"/>
        <a:ext cx="2962275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57150</xdr:colOff>
      <xdr:row>146</xdr:row>
      <xdr:rowOff>19050</xdr:rowOff>
    </xdr:from>
    <xdr:to>
      <xdr:col>12</xdr:col>
      <xdr:colOff>133350</xdr:colOff>
      <xdr:row>157</xdr:row>
      <xdr:rowOff>142875</xdr:rowOff>
    </xdr:to>
    <xdr:graphicFrame>
      <xdr:nvGraphicFramePr>
        <xdr:cNvPr id="8" name="Chart 8"/>
        <xdr:cNvGraphicFramePr/>
      </xdr:nvGraphicFramePr>
      <xdr:xfrm>
        <a:off x="4324350" y="23669625"/>
        <a:ext cx="312420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76200</xdr:colOff>
      <xdr:row>15</xdr:row>
      <xdr:rowOff>19050</xdr:rowOff>
    </xdr:from>
    <xdr:to>
      <xdr:col>11</xdr:col>
      <xdr:colOff>523875</xdr:colOff>
      <xdr:row>26</xdr:row>
      <xdr:rowOff>152400</xdr:rowOff>
    </xdr:to>
    <xdr:graphicFrame>
      <xdr:nvGraphicFramePr>
        <xdr:cNvPr id="9" name="Chart 9"/>
        <xdr:cNvGraphicFramePr/>
      </xdr:nvGraphicFramePr>
      <xdr:xfrm>
        <a:off x="4343400" y="2447925"/>
        <a:ext cx="2886075" cy="1914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66675</xdr:colOff>
      <xdr:row>104</xdr:row>
      <xdr:rowOff>9525</xdr:rowOff>
    </xdr:from>
    <xdr:to>
      <xdr:col>12</xdr:col>
      <xdr:colOff>266700</xdr:colOff>
      <xdr:row>117</xdr:row>
      <xdr:rowOff>47625</xdr:rowOff>
    </xdr:to>
    <xdr:graphicFrame>
      <xdr:nvGraphicFramePr>
        <xdr:cNvPr id="10" name="Chart 10"/>
        <xdr:cNvGraphicFramePr/>
      </xdr:nvGraphicFramePr>
      <xdr:xfrm>
        <a:off x="4333875" y="16859250"/>
        <a:ext cx="3248025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209550</xdr:colOff>
      <xdr:row>0</xdr:row>
      <xdr:rowOff>0</xdr:rowOff>
    </xdr:from>
    <xdr:to>
      <xdr:col>19</xdr:col>
      <xdr:colOff>85725</xdr:colOff>
      <xdr:row>16</xdr:row>
      <xdr:rowOff>28575</xdr:rowOff>
    </xdr:to>
    <xdr:graphicFrame>
      <xdr:nvGraphicFramePr>
        <xdr:cNvPr id="11" name="Chart 11"/>
        <xdr:cNvGraphicFramePr/>
      </xdr:nvGraphicFramePr>
      <xdr:xfrm>
        <a:off x="7524750" y="0"/>
        <a:ext cx="414337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142875</xdr:colOff>
      <xdr:row>77</xdr:row>
      <xdr:rowOff>9525</xdr:rowOff>
    </xdr:from>
    <xdr:to>
      <xdr:col>12</xdr:col>
      <xdr:colOff>285750</xdr:colOff>
      <xdr:row>89</xdr:row>
      <xdr:rowOff>66675</xdr:rowOff>
    </xdr:to>
    <xdr:graphicFrame>
      <xdr:nvGraphicFramePr>
        <xdr:cNvPr id="12" name="Chart 12"/>
        <xdr:cNvGraphicFramePr/>
      </xdr:nvGraphicFramePr>
      <xdr:xfrm>
        <a:off x="4410075" y="12487275"/>
        <a:ext cx="31908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38</xdr:row>
      <xdr:rowOff>104775</xdr:rowOff>
    </xdr:from>
    <xdr:to>
      <xdr:col>12</xdr:col>
      <xdr:colOff>66675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4371975" y="6267450"/>
        <a:ext cx="30099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11</xdr:col>
      <xdr:colOff>552450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4381500" y="4533900"/>
        <a:ext cx="28765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51</xdr:row>
      <xdr:rowOff>19050</xdr:rowOff>
    </xdr:from>
    <xdr:to>
      <xdr:col>12</xdr:col>
      <xdr:colOff>209550</xdr:colOff>
      <xdr:row>62</xdr:row>
      <xdr:rowOff>0</xdr:rowOff>
    </xdr:to>
    <xdr:graphicFrame>
      <xdr:nvGraphicFramePr>
        <xdr:cNvPr id="3" name="Chart 3"/>
        <xdr:cNvGraphicFramePr/>
      </xdr:nvGraphicFramePr>
      <xdr:xfrm>
        <a:off x="4371975" y="8286750"/>
        <a:ext cx="315277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95250</xdr:colOff>
      <xdr:row>62</xdr:row>
      <xdr:rowOff>142875</xdr:rowOff>
    </xdr:from>
    <xdr:to>
      <xdr:col>12</xdr:col>
      <xdr:colOff>47625</xdr:colOff>
      <xdr:row>76</xdr:row>
      <xdr:rowOff>114300</xdr:rowOff>
    </xdr:to>
    <xdr:graphicFrame>
      <xdr:nvGraphicFramePr>
        <xdr:cNvPr id="4" name="Chart 4"/>
        <xdr:cNvGraphicFramePr/>
      </xdr:nvGraphicFramePr>
      <xdr:xfrm>
        <a:off x="4362450" y="10191750"/>
        <a:ext cx="3000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95250</xdr:colOff>
      <xdr:row>119</xdr:row>
      <xdr:rowOff>19050</xdr:rowOff>
    </xdr:from>
    <xdr:to>
      <xdr:col>12</xdr:col>
      <xdr:colOff>276225</xdr:colOff>
      <xdr:row>131</xdr:row>
      <xdr:rowOff>114300</xdr:rowOff>
    </xdr:to>
    <xdr:graphicFrame>
      <xdr:nvGraphicFramePr>
        <xdr:cNvPr id="5" name="Chart 5"/>
        <xdr:cNvGraphicFramePr/>
      </xdr:nvGraphicFramePr>
      <xdr:xfrm>
        <a:off x="4362450" y="19297650"/>
        <a:ext cx="3228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133350</xdr:colOff>
      <xdr:row>90</xdr:row>
      <xdr:rowOff>114300</xdr:rowOff>
    </xdr:from>
    <xdr:to>
      <xdr:col>12</xdr:col>
      <xdr:colOff>361950</xdr:colOff>
      <xdr:row>104</xdr:row>
      <xdr:rowOff>152400</xdr:rowOff>
    </xdr:to>
    <xdr:graphicFrame>
      <xdr:nvGraphicFramePr>
        <xdr:cNvPr id="6" name="Chart 6"/>
        <xdr:cNvGraphicFramePr/>
      </xdr:nvGraphicFramePr>
      <xdr:xfrm>
        <a:off x="4400550" y="14697075"/>
        <a:ext cx="327660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95250</xdr:colOff>
      <xdr:row>133</xdr:row>
      <xdr:rowOff>38100</xdr:rowOff>
    </xdr:from>
    <xdr:to>
      <xdr:col>12</xdr:col>
      <xdr:colOff>9525</xdr:colOff>
      <xdr:row>145</xdr:row>
      <xdr:rowOff>76200</xdr:rowOff>
    </xdr:to>
    <xdr:graphicFrame>
      <xdr:nvGraphicFramePr>
        <xdr:cNvPr id="7" name="Chart 7"/>
        <xdr:cNvGraphicFramePr/>
      </xdr:nvGraphicFramePr>
      <xdr:xfrm>
        <a:off x="4362450" y="21583650"/>
        <a:ext cx="2962275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57150</xdr:colOff>
      <xdr:row>147</xdr:row>
      <xdr:rowOff>19050</xdr:rowOff>
    </xdr:from>
    <xdr:to>
      <xdr:col>12</xdr:col>
      <xdr:colOff>133350</xdr:colOff>
      <xdr:row>158</xdr:row>
      <xdr:rowOff>142875</xdr:rowOff>
    </xdr:to>
    <xdr:graphicFrame>
      <xdr:nvGraphicFramePr>
        <xdr:cNvPr id="8" name="Chart 8"/>
        <xdr:cNvGraphicFramePr/>
      </xdr:nvGraphicFramePr>
      <xdr:xfrm>
        <a:off x="4324350" y="23831550"/>
        <a:ext cx="312420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76200</xdr:colOff>
      <xdr:row>17</xdr:row>
      <xdr:rowOff>57150</xdr:rowOff>
    </xdr:from>
    <xdr:to>
      <xdr:col>11</xdr:col>
      <xdr:colOff>523875</xdr:colOff>
      <xdr:row>27</xdr:row>
      <xdr:rowOff>152400</xdr:rowOff>
    </xdr:to>
    <xdr:graphicFrame>
      <xdr:nvGraphicFramePr>
        <xdr:cNvPr id="9" name="Chart 10"/>
        <xdr:cNvGraphicFramePr/>
      </xdr:nvGraphicFramePr>
      <xdr:xfrm>
        <a:off x="4343400" y="2809875"/>
        <a:ext cx="2886075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66675</xdr:colOff>
      <xdr:row>105</xdr:row>
      <xdr:rowOff>9525</xdr:rowOff>
    </xdr:from>
    <xdr:to>
      <xdr:col>12</xdr:col>
      <xdr:colOff>266700</xdr:colOff>
      <xdr:row>118</xdr:row>
      <xdr:rowOff>47625</xdr:rowOff>
    </xdr:to>
    <xdr:graphicFrame>
      <xdr:nvGraphicFramePr>
        <xdr:cNvPr id="10" name="Chart 11"/>
        <xdr:cNvGraphicFramePr/>
      </xdr:nvGraphicFramePr>
      <xdr:xfrm>
        <a:off x="4333875" y="17021175"/>
        <a:ext cx="3248025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514350</xdr:colOff>
      <xdr:row>0</xdr:row>
      <xdr:rowOff>76200</xdr:rowOff>
    </xdr:from>
    <xdr:to>
      <xdr:col>18</xdr:col>
      <xdr:colOff>381000</xdr:colOff>
      <xdr:row>17</xdr:row>
      <xdr:rowOff>104775</xdr:rowOff>
    </xdr:to>
    <xdr:graphicFrame>
      <xdr:nvGraphicFramePr>
        <xdr:cNvPr id="11" name="Chart 12"/>
        <xdr:cNvGraphicFramePr/>
      </xdr:nvGraphicFramePr>
      <xdr:xfrm>
        <a:off x="7219950" y="76200"/>
        <a:ext cx="413385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142875</xdr:colOff>
      <xdr:row>78</xdr:row>
      <xdr:rowOff>9525</xdr:rowOff>
    </xdr:from>
    <xdr:to>
      <xdr:col>12</xdr:col>
      <xdr:colOff>285750</xdr:colOff>
      <xdr:row>90</xdr:row>
      <xdr:rowOff>66675</xdr:rowOff>
    </xdr:to>
    <xdr:graphicFrame>
      <xdr:nvGraphicFramePr>
        <xdr:cNvPr id="12" name="Chart 13"/>
        <xdr:cNvGraphicFramePr/>
      </xdr:nvGraphicFramePr>
      <xdr:xfrm>
        <a:off x="4410075" y="12649200"/>
        <a:ext cx="31908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38</xdr:row>
      <xdr:rowOff>104775</xdr:rowOff>
    </xdr:from>
    <xdr:to>
      <xdr:col>12</xdr:col>
      <xdr:colOff>66675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4371975" y="6267450"/>
        <a:ext cx="30099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11</xdr:col>
      <xdr:colOff>552450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4381500" y="4533900"/>
        <a:ext cx="287655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51</xdr:row>
      <xdr:rowOff>19050</xdr:rowOff>
    </xdr:from>
    <xdr:to>
      <xdr:col>12</xdr:col>
      <xdr:colOff>209550</xdr:colOff>
      <xdr:row>62</xdr:row>
      <xdr:rowOff>0</xdr:rowOff>
    </xdr:to>
    <xdr:graphicFrame>
      <xdr:nvGraphicFramePr>
        <xdr:cNvPr id="3" name="Chart 3"/>
        <xdr:cNvGraphicFramePr/>
      </xdr:nvGraphicFramePr>
      <xdr:xfrm>
        <a:off x="4371975" y="8286750"/>
        <a:ext cx="315277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95250</xdr:colOff>
      <xdr:row>62</xdr:row>
      <xdr:rowOff>142875</xdr:rowOff>
    </xdr:from>
    <xdr:to>
      <xdr:col>12</xdr:col>
      <xdr:colOff>47625</xdr:colOff>
      <xdr:row>76</xdr:row>
      <xdr:rowOff>114300</xdr:rowOff>
    </xdr:to>
    <xdr:graphicFrame>
      <xdr:nvGraphicFramePr>
        <xdr:cNvPr id="4" name="Chart 4"/>
        <xdr:cNvGraphicFramePr/>
      </xdr:nvGraphicFramePr>
      <xdr:xfrm>
        <a:off x="4362450" y="10191750"/>
        <a:ext cx="3000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120</xdr:row>
      <xdr:rowOff>114300</xdr:rowOff>
    </xdr:from>
    <xdr:to>
      <xdr:col>12</xdr:col>
      <xdr:colOff>285750</xdr:colOff>
      <xdr:row>132</xdr:row>
      <xdr:rowOff>114300</xdr:rowOff>
    </xdr:to>
    <xdr:graphicFrame>
      <xdr:nvGraphicFramePr>
        <xdr:cNvPr id="5" name="Chart 5"/>
        <xdr:cNvGraphicFramePr/>
      </xdr:nvGraphicFramePr>
      <xdr:xfrm>
        <a:off x="4371975" y="19554825"/>
        <a:ext cx="3228975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133350</xdr:colOff>
      <xdr:row>90</xdr:row>
      <xdr:rowOff>114300</xdr:rowOff>
    </xdr:from>
    <xdr:to>
      <xdr:col>12</xdr:col>
      <xdr:colOff>361950</xdr:colOff>
      <xdr:row>104</xdr:row>
      <xdr:rowOff>152400</xdr:rowOff>
    </xdr:to>
    <xdr:graphicFrame>
      <xdr:nvGraphicFramePr>
        <xdr:cNvPr id="6" name="Chart 6"/>
        <xdr:cNvGraphicFramePr/>
      </xdr:nvGraphicFramePr>
      <xdr:xfrm>
        <a:off x="4400550" y="14697075"/>
        <a:ext cx="327660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95250</xdr:colOff>
      <xdr:row>133</xdr:row>
      <xdr:rowOff>38100</xdr:rowOff>
    </xdr:from>
    <xdr:to>
      <xdr:col>12</xdr:col>
      <xdr:colOff>9525</xdr:colOff>
      <xdr:row>145</xdr:row>
      <xdr:rowOff>76200</xdr:rowOff>
    </xdr:to>
    <xdr:graphicFrame>
      <xdr:nvGraphicFramePr>
        <xdr:cNvPr id="7" name="Chart 7"/>
        <xdr:cNvGraphicFramePr/>
      </xdr:nvGraphicFramePr>
      <xdr:xfrm>
        <a:off x="4362450" y="21583650"/>
        <a:ext cx="2962275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57150</xdr:colOff>
      <xdr:row>147</xdr:row>
      <xdr:rowOff>19050</xdr:rowOff>
    </xdr:from>
    <xdr:to>
      <xdr:col>12</xdr:col>
      <xdr:colOff>133350</xdr:colOff>
      <xdr:row>158</xdr:row>
      <xdr:rowOff>142875</xdr:rowOff>
    </xdr:to>
    <xdr:graphicFrame>
      <xdr:nvGraphicFramePr>
        <xdr:cNvPr id="8" name="Chart 8"/>
        <xdr:cNvGraphicFramePr/>
      </xdr:nvGraphicFramePr>
      <xdr:xfrm>
        <a:off x="4324350" y="23831550"/>
        <a:ext cx="312420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76200</xdr:colOff>
      <xdr:row>17</xdr:row>
      <xdr:rowOff>57150</xdr:rowOff>
    </xdr:from>
    <xdr:to>
      <xdr:col>11</xdr:col>
      <xdr:colOff>523875</xdr:colOff>
      <xdr:row>27</xdr:row>
      <xdr:rowOff>152400</xdr:rowOff>
    </xdr:to>
    <xdr:graphicFrame>
      <xdr:nvGraphicFramePr>
        <xdr:cNvPr id="9" name="Chart 10"/>
        <xdr:cNvGraphicFramePr/>
      </xdr:nvGraphicFramePr>
      <xdr:xfrm>
        <a:off x="4343400" y="2809875"/>
        <a:ext cx="2886075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66675</xdr:colOff>
      <xdr:row>105</xdr:row>
      <xdr:rowOff>9525</xdr:rowOff>
    </xdr:from>
    <xdr:to>
      <xdr:col>12</xdr:col>
      <xdr:colOff>266700</xdr:colOff>
      <xdr:row>118</xdr:row>
      <xdr:rowOff>47625</xdr:rowOff>
    </xdr:to>
    <xdr:graphicFrame>
      <xdr:nvGraphicFramePr>
        <xdr:cNvPr id="10" name="Chart 11"/>
        <xdr:cNvGraphicFramePr/>
      </xdr:nvGraphicFramePr>
      <xdr:xfrm>
        <a:off x="4333875" y="17021175"/>
        <a:ext cx="3248025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171450</xdr:colOff>
      <xdr:row>0</xdr:row>
      <xdr:rowOff>19050</xdr:rowOff>
    </xdr:from>
    <xdr:to>
      <xdr:col>18</xdr:col>
      <xdr:colOff>38100</xdr:colOff>
      <xdr:row>17</xdr:row>
      <xdr:rowOff>47625</xdr:rowOff>
    </xdr:to>
    <xdr:graphicFrame>
      <xdr:nvGraphicFramePr>
        <xdr:cNvPr id="11" name="Chart 12"/>
        <xdr:cNvGraphicFramePr/>
      </xdr:nvGraphicFramePr>
      <xdr:xfrm>
        <a:off x="6877050" y="19050"/>
        <a:ext cx="413385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142875</xdr:colOff>
      <xdr:row>78</xdr:row>
      <xdr:rowOff>9525</xdr:rowOff>
    </xdr:from>
    <xdr:to>
      <xdr:col>12</xdr:col>
      <xdr:colOff>285750</xdr:colOff>
      <xdr:row>90</xdr:row>
      <xdr:rowOff>66675</xdr:rowOff>
    </xdr:to>
    <xdr:graphicFrame>
      <xdr:nvGraphicFramePr>
        <xdr:cNvPr id="12" name="Chart 13"/>
        <xdr:cNvGraphicFramePr/>
      </xdr:nvGraphicFramePr>
      <xdr:xfrm>
        <a:off x="4410075" y="12649200"/>
        <a:ext cx="31908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workbookViewId="0" topLeftCell="A1">
      <selection activeCell="D4" activeCellId="1" sqref="B4:B14 D4:D14"/>
    </sheetView>
  </sheetViews>
  <sheetFormatPr defaultColWidth="9.140625" defaultRowHeight="12.75"/>
  <sheetData>
    <row r="1" spans="2:6" ht="12.75">
      <c r="B1" t="s">
        <v>13</v>
      </c>
      <c r="F1" t="s">
        <v>28</v>
      </c>
    </row>
    <row r="2" spans="2:8" ht="12.75">
      <c r="B2" t="str">
        <f>center!I1</f>
        <v>V</v>
      </c>
      <c r="C2" t="str">
        <f>center!J1</f>
        <v>eff at 1 fC</v>
      </c>
      <c r="D2" t="str">
        <f>center!K1</f>
        <v>med Q</v>
      </c>
      <c r="F2" t="str">
        <f>'PMFE edge'!I1</f>
        <v>V</v>
      </c>
      <c r="G2" t="str">
        <f>'PMFE edge'!J1</f>
        <v>eff at 1 fC</v>
      </c>
      <c r="H2" t="str">
        <f>'PMFE edge'!K1</f>
        <v>med Q</v>
      </c>
    </row>
    <row r="3" spans="2:8" ht="12.75">
      <c r="B3">
        <f>center!I2</f>
        <v>5</v>
      </c>
      <c r="C3">
        <f>center!J2</f>
        <v>0.39117043121149897</v>
      </c>
      <c r="D3">
        <f>center!K2</f>
        <v>0</v>
      </c>
      <c r="F3">
        <f>'PMFE edge'!I2</f>
        <v>5</v>
      </c>
      <c r="G3">
        <f>'PMFE edge'!J2</f>
        <v>0.2923728813559322</v>
      </c>
      <c r="H3">
        <f>'PMFE edge'!K2</f>
        <v>0</v>
      </c>
    </row>
    <row r="4" spans="2:8" ht="12.75">
      <c r="B4">
        <f>center!I3</f>
        <v>7</v>
      </c>
      <c r="C4">
        <f>center!J3</f>
        <v>0.5076687116564417</v>
      </c>
      <c r="D4">
        <f>center!K3</f>
        <v>1.02</v>
      </c>
      <c r="F4">
        <f>'PMFE edge'!I3</f>
        <v>7</v>
      </c>
      <c r="G4">
        <f>'PMFE edge'!J3</f>
        <v>0.3817533129459735</v>
      </c>
      <c r="H4">
        <f>'PMFE edge'!K3</f>
        <v>0.93</v>
      </c>
    </row>
    <row r="5" spans="2:8" ht="12.75">
      <c r="B5">
        <f>center!I4</f>
        <v>10</v>
      </c>
      <c r="C5">
        <f>center!J4</f>
        <v>0.7833587011669203</v>
      </c>
      <c r="D5">
        <f>center!K4</f>
        <v>1.31</v>
      </c>
      <c r="F5">
        <f>'PMFE edge'!I4</f>
        <v>10</v>
      </c>
      <c r="G5">
        <f>'PMFE edge'!J4</f>
        <v>0.6661157024793388</v>
      </c>
      <c r="H5">
        <f>'PMFE edge'!K4</f>
        <v>1.18</v>
      </c>
    </row>
    <row r="6" spans="2:8" ht="12.75">
      <c r="B6">
        <f>center!I5</f>
        <v>15</v>
      </c>
      <c r="C6">
        <f>center!J5</f>
        <v>0.9359879032258065</v>
      </c>
      <c r="D6">
        <f>center!K5</f>
        <v>1.75</v>
      </c>
      <c r="F6">
        <f>'PMFE edge'!I5</f>
        <v>15</v>
      </c>
      <c r="G6">
        <f>'PMFE edge'!J5</f>
        <v>0.9064391854705559</v>
      </c>
      <c r="H6">
        <f>'PMFE edge'!K5</f>
        <v>1.66</v>
      </c>
    </row>
    <row r="7" spans="2:8" ht="12.75">
      <c r="B7">
        <f>center!I6</f>
        <v>20</v>
      </c>
      <c r="C7">
        <f>center!J6</f>
        <v>0.9681059862610403</v>
      </c>
      <c r="D7">
        <f>center!K6</f>
        <v>2.13</v>
      </c>
      <c r="F7">
        <f>'PMFE edge'!I6</f>
        <v>20</v>
      </c>
      <c r="G7">
        <f>'PMFE edge'!J6</f>
        <v>0.9633596392333709</v>
      </c>
      <c r="H7">
        <f>'PMFE edge'!K6</f>
        <v>2.06</v>
      </c>
    </row>
    <row r="8" spans="2:8" ht="12.75">
      <c r="B8">
        <f>center!I7</f>
        <v>30</v>
      </c>
      <c r="C8">
        <f>center!J7</f>
        <v>0.9765739385065886</v>
      </c>
      <c r="D8">
        <f>center!K7</f>
        <v>2.68</v>
      </c>
      <c r="F8">
        <f>'PMFE edge'!I7</f>
        <v>30</v>
      </c>
      <c r="G8">
        <f>'PMFE edge'!J7</f>
        <v>0.9777901166018879</v>
      </c>
      <c r="H8">
        <f>'PMFE edge'!K7</f>
        <v>2.63</v>
      </c>
    </row>
    <row r="9" spans="2:8" ht="12.75">
      <c r="B9">
        <f>center!I8</f>
        <v>40</v>
      </c>
      <c r="C9">
        <f>center!J8</f>
        <v>0.9891614375356532</v>
      </c>
      <c r="D9">
        <f>center!K8</f>
        <v>3.13</v>
      </c>
      <c r="F9">
        <f>'PMFE edge'!I8</f>
        <v>40</v>
      </c>
      <c r="G9">
        <f>'PMFE edge'!J8</f>
        <v>0.9789823008849557</v>
      </c>
      <c r="H9">
        <f>'PMFE edge'!K8</f>
        <v>3.04</v>
      </c>
    </row>
    <row r="10" spans="2:8" ht="12.75">
      <c r="B10">
        <f>center!I9</f>
        <v>50</v>
      </c>
      <c r="C10">
        <f>center!J9</f>
        <v>0.9805672268907563</v>
      </c>
      <c r="D10">
        <f>center!K9</f>
        <v>3.49</v>
      </c>
      <c r="F10">
        <f>'PMFE edge'!I9</f>
        <v>50</v>
      </c>
      <c r="G10">
        <f>'PMFE edge'!J9</f>
        <v>0.978433598183882</v>
      </c>
      <c r="H10">
        <f>'PMFE edge'!K9</f>
        <v>3.44</v>
      </c>
    </row>
    <row r="11" spans="2:8" ht="12.75">
      <c r="B11">
        <f>center!I10</f>
        <v>60</v>
      </c>
      <c r="C11">
        <f>center!J10</f>
        <v>0.9775336994508238</v>
      </c>
      <c r="D11">
        <f>center!K10</f>
        <v>3.69</v>
      </c>
      <c r="F11">
        <f>'PMFE edge'!I10</f>
        <v>60</v>
      </c>
      <c r="G11">
        <f>'PMFE edge'!J10</f>
        <v>0.9870550161812298</v>
      </c>
      <c r="H11">
        <f>'PMFE edge'!K10</f>
        <v>3.64</v>
      </c>
    </row>
    <row r="12" spans="2:8" ht="12.75">
      <c r="B12">
        <f>center!I11</f>
        <v>70</v>
      </c>
      <c r="C12">
        <f>center!J11</f>
        <v>0.984015984015984</v>
      </c>
      <c r="D12">
        <f>center!K11</f>
        <v>3.67</v>
      </c>
      <c r="F12">
        <f>'PMFE edge'!I11</f>
        <v>70</v>
      </c>
      <c r="G12">
        <f>'PMFE edge'!J11</f>
        <v>1.010443864229765</v>
      </c>
      <c r="H12">
        <f>'PMFE edge'!K11</f>
        <v>3.61</v>
      </c>
    </row>
    <row r="13" spans="2:8" ht="12.75">
      <c r="B13">
        <f>center!I12</f>
        <v>90</v>
      </c>
      <c r="C13">
        <f>center!J12</f>
        <v>0.9979064898813678</v>
      </c>
      <c r="D13">
        <f>center!K12</f>
        <v>3.69</v>
      </c>
      <c r="F13">
        <f>'PMFE edge'!I12</f>
        <v>90</v>
      </c>
      <c r="G13">
        <f>'PMFE edge'!J12</f>
        <v>0.9844097995545658</v>
      </c>
      <c r="H13">
        <f>'PMFE edge'!K12</f>
        <v>3.59</v>
      </c>
    </row>
    <row r="14" spans="2:8" ht="12.75">
      <c r="B14">
        <f>center!I13</f>
        <v>110</v>
      </c>
      <c r="C14">
        <f>center!J13</f>
        <v>0.9894736842105263</v>
      </c>
      <c r="D14">
        <f>center!K13</f>
        <v>3.66</v>
      </c>
      <c r="F14">
        <f>'PMFE edge'!I13</f>
        <v>110</v>
      </c>
      <c r="G14">
        <f>'PMFE edge'!J13</f>
        <v>0.9976162097735399</v>
      </c>
      <c r="H14">
        <f>'PMFE edge'!K13</f>
        <v>3.56</v>
      </c>
    </row>
    <row r="17" ht="12.75">
      <c r="B17" t="s">
        <v>27</v>
      </c>
    </row>
    <row r="18" spans="2:4" ht="12.75">
      <c r="B18" t="str">
        <f>'far edge'!I1</f>
        <v>V</v>
      </c>
      <c r="C18" t="str">
        <f>'far edge'!J1</f>
        <v>eff at 1 fC</v>
      </c>
      <c r="D18" t="str">
        <f>'far edge'!K1</f>
        <v>med Q</v>
      </c>
    </row>
    <row r="19" spans="2:4" ht="12.75">
      <c r="B19">
        <f>'far edge'!I2</f>
        <v>5</v>
      </c>
      <c r="C19">
        <f>'far edge'!J2</f>
        <v>0.33994169096209914</v>
      </c>
      <c r="D19">
        <f>'far edge'!K2</f>
        <v>0</v>
      </c>
    </row>
    <row r="20" spans="2:4" ht="12.75">
      <c r="B20">
        <f>'far edge'!I3</f>
        <v>7</v>
      </c>
      <c r="C20">
        <f>'far edge'!J3</f>
        <v>0.4359903381642512</v>
      </c>
      <c r="D20">
        <f>'far edge'!K3</f>
        <v>0.96</v>
      </c>
    </row>
    <row r="21" spans="2:4" ht="12.75">
      <c r="B21">
        <f>'far edge'!I4</f>
        <v>10</v>
      </c>
      <c r="C21">
        <f>'far edge'!J4</f>
        <v>0.7450693937180424</v>
      </c>
      <c r="D21">
        <f>'far edge'!K4</f>
        <v>1.3</v>
      </c>
    </row>
    <row r="22" spans="2:4" ht="12.75">
      <c r="B22">
        <f>'far edge'!I5</f>
        <v>15</v>
      </c>
      <c r="C22">
        <f>'far edge'!J5</f>
        <v>0.9680451127819549</v>
      </c>
      <c r="D22">
        <f>'far edge'!K5</f>
        <v>1.78</v>
      </c>
    </row>
    <row r="23" spans="2:4" ht="12.75">
      <c r="B23">
        <f>'far edge'!I6</f>
        <v>20</v>
      </c>
      <c r="C23">
        <f>'far edge'!J6</f>
        <v>0.9602237414543194</v>
      </c>
      <c r="D23">
        <f>'far edge'!K6</f>
        <v>2.01</v>
      </c>
    </row>
    <row r="24" spans="2:4" ht="12.75">
      <c r="B24">
        <f>'far edge'!I7</f>
        <v>30</v>
      </c>
      <c r="C24">
        <f>'far edge'!J7</f>
        <v>0.9773539928486293</v>
      </c>
      <c r="D24">
        <f>'far edge'!K7</f>
        <v>2.75</v>
      </c>
    </row>
    <row r="25" spans="2:4" ht="12.75">
      <c r="B25">
        <f>'far edge'!I8</f>
        <v>40</v>
      </c>
      <c r="C25">
        <f>'far edge'!J8</f>
        <v>0.9841463414634146</v>
      </c>
      <c r="D25">
        <f>'far edge'!K8</f>
        <v>3.23</v>
      </c>
    </row>
    <row r="26" spans="2:4" ht="12.75">
      <c r="B26">
        <f>'far edge'!I9</f>
        <v>50</v>
      </c>
      <c r="C26">
        <f>'far edge'!J9</f>
        <v>0.9927667269439421</v>
      </c>
      <c r="D26">
        <f>'far edge'!K9</f>
        <v>3.51</v>
      </c>
    </row>
    <row r="27" spans="2:4" ht="12.75">
      <c r="B27">
        <f>'far edge'!I10</f>
        <v>60</v>
      </c>
      <c r="C27">
        <f>'far edge'!J10</f>
        <v>0.9914004914004914</v>
      </c>
      <c r="D27">
        <f>'far edge'!K10</f>
        <v>3.64</v>
      </c>
    </row>
    <row r="28" spans="2:4" ht="12.75">
      <c r="B28">
        <f>'far edge'!I11</f>
        <v>70</v>
      </c>
      <c r="C28">
        <f>'far edge'!J11</f>
        <v>0.9934971098265896</v>
      </c>
      <c r="D28">
        <f>'far edge'!K11</f>
        <v>3.62</v>
      </c>
    </row>
    <row r="29" spans="2:4" ht="12.75">
      <c r="B29">
        <f>'far edge'!I12</f>
        <v>90</v>
      </c>
      <c r="C29">
        <f>'far edge'!J12</f>
        <v>0.9817850637522769</v>
      </c>
      <c r="D29">
        <f>'far edge'!K12</f>
        <v>3.56</v>
      </c>
    </row>
    <row r="30" spans="2:4" ht="12.75">
      <c r="B30">
        <f>'far edge'!I13</f>
        <v>110</v>
      </c>
      <c r="C30">
        <f>'far edge'!J13</f>
        <v>0.9821208384710234</v>
      </c>
      <c r="D30">
        <f>'far edge'!K13</f>
        <v>3.55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H1">
      <pane xSplit="13332" topLeftCell="P8" activePane="topLeft" state="split"/>
      <selection pane="topLeft" activeCell="I1" sqref="I1:K13"/>
      <selection pane="topRight" activeCell="P1" sqref="P1"/>
    </sheetView>
  </sheetViews>
  <sheetFormatPr defaultColWidth="9.140625" defaultRowHeight="12.75"/>
  <cols>
    <col min="1" max="1" width="9.140625" style="0" bestFit="1" customWidth="1"/>
  </cols>
  <sheetData>
    <row r="1" spans="1:11" ht="12.75">
      <c r="A1" t="s">
        <v>14</v>
      </c>
      <c r="D1" t="s">
        <v>7</v>
      </c>
      <c r="E1" t="s">
        <v>8</v>
      </c>
      <c r="I1" t="s">
        <v>10</v>
      </c>
      <c r="J1" t="s">
        <v>11</v>
      </c>
      <c r="K1" t="s">
        <v>12</v>
      </c>
    </row>
    <row r="2" spans="1:10" ht="12.75">
      <c r="A2" s="1">
        <v>39176</v>
      </c>
      <c r="D2">
        <v>113.54309523809526</v>
      </c>
      <c r="E2">
        <v>-15.848603174603172</v>
      </c>
      <c r="I2">
        <v>5</v>
      </c>
      <c r="J2">
        <f>G15</f>
        <v>0.2923728813559322</v>
      </c>
    </row>
    <row r="3" spans="1:11" ht="12.75">
      <c r="A3" s="1"/>
      <c r="I3">
        <v>7</v>
      </c>
      <c r="J3">
        <f>G23</f>
        <v>0.3817533129459735</v>
      </c>
      <c r="K3">
        <f>N21</f>
        <v>0.93</v>
      </c>
    </row>
    <row r="4" spans="1:11" ht="12.75">
      <c r="A4" s="1"/>
      <c r="I4">
        <v>10</v>
      </c>
      <c r="J4">
        <f>G32</f>
        <v>0.6661157024793388</v>
      </c>
      <c r="K4">
        <f>N31</f>
        <v>1.18</v>
      </c>
    </row>
    <row r="5" spans="9:11" ht="12.75">
      <c r="I5">
        <v>15</v>
      </c>
      <c r="J5">
        <f>G41</f>
        <v>0.9064391854705559</v>
      </c>
      <c r="K5">
        <f>N40</f>
        <v>1.66</v>
      </c>
    </row>
    <row r="6" spans="1:11" ht="12.75">
      <c r="A6" t="s">
        <v>26</v>
      </c>
      <c r="I6">
        <v>20</v>
      </c>
      <c r="J6">
        <f>G53</f>
        <v>0.9633596392333709</v>
      </c>
      <c r="K6">
        <f>N52</f>
        <v>2.06</v>
      </c>
    </row>
    <row r="7" spans="1:11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I7">
        <v>30</v>
      </c>
      <c r="J7">
        <f>G66</f>
        <v>0.9777901166018879</v>
      </c>
      <c r="K7">
        <f>N65</f>
        <v>2.63</v>
      </c>
    </row>
    <row r="8" spans="1:11" ht="12.75">
      <c r="A8" s="2">
        <v>100</v>
      </c>
      <c r="I8">
        <v>40</v>
      </c>
      <c r="J8">
        <f>G81</f>
        <v>0.9789823008849557</v>
      </c>
      <c r="K8">
        <f>N80</f>
        <v>3.04</v>
      </c>
    </row>
    <row r="9" spans="9:11" ht="12.75">
      <c r="I9">
        <v>50</v>
      </c>
      <c r="J9">
        <f>G93</f>
        <v>0.978433598183882</v>
      </c>
      <c r="K9">
        <f>N92</f>
        <v>3.44</v>
      </c>
    </row>
    <row r="10" spans="9:11" ht="12.75">
      <c r="I10">
        <v>60</v>
      </c>
      <c r="J10">
        <f>G107</f>
        <v>0.9870550161812298</v>
      </c>
      <c r="K10">
        <f>N105</f>
        <v>3.64</v>
      </c>
    </row>
    <row r="11" spans="9:11" ht="12.75">
      <c r="I11">
        <v>70</v>
      </c>
      <c r="J11">
        <f>G122</f>
        <v>1.010443864229765</v>
      </c>
      <c r="K11">
        <f>N121</f>
        <v>3.61</v>
      </c>
    </row>
    <row r="12" spans="9:11" ht="12.75">
      <c r="I12">
        <v>90</v>
      </c>
      <c r="J12">
        <f>G135</f>
        <v>0.9844097995545658</v>
      </c>
      <c r="K12">
        <f>N134</f>
        <v>3.59</v>
      </c>
    </row>
    <row r="13" spans="1:11" ht="12.75">
      <c r="A13" t="s">
        <v>17</v>
      </c>
      <c r="I13">
        <v>110</v>
      </c>
      <c r="J13">
        <f>G149</f>
        <v>0.9976162097735399</v>
      </c>
      <c r="K13">
        <f>N148</f>
        <v>3.56</v>
      </c>
    </row>
    <row r="14" spans="1:7" ht="12.7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</row>
    <row r="15" spans="1:7" ht="12.75">
      <c r="A15">
        <v>100</v>
      </c>
      <c r="B15">
        <f>(A15-offset)/gain</f>
        <v>1.020305135522978</v>
      </c>
      <c r="C15">
        <v>342913</v>
      </c>
      <c r="D15">
        <v>1444</v>
      </c>
      <c r="F15">
        <v>414</v>
      </c>
      <c r="G15">
        <f>(F15+E15)/(D15-14*2)</f>
        <v>0.2923728813559322</v>
      </c>
    </row>
    <row r="16" spans="1:7" ht="12.75">
      <c r="A16">
        <v>120</v>
      </c>
      <c r="B16">
        <f>(A16-offset)/gain</f>
        <v>1.1964497082780257</v>
      </c>
      <c r="C16">
        <v>18631</v>
      </c>
      <c r="D16">
        <v>1807</v>
      </c>
      <c r="F16">
        <v>283</v>
      </c>
      <c r="G16">
        <f>(F16+E16)/(D16-14*2)</f>
        <v>0.15907813378302418</v>
      </c>
    </row>
    <row r="17" spans="1:7" ht="12.75">
      <c r="A17">
        <v>150</v>
      </c>
      <c r="B17">
        <f>(A17-offset)/gain</f>
        <v>1.4606665674105976</v>
      </c>
      <c r="C17">
        <v>8468</v>
      </c>
      <c r="D17">
        <v>1467</v>
      </c>
      <c r="F17">
        <v>109</v>
      </c>
      <c r="G17">
        <f>(F17+E17)/(D17-14*2)</f>
        <v>0.07574704656011119</v>
      </c>
    </row>
    <row r="20" ht="12.75">
      <c r="A20" t="s">
        <v>18</v>
      </c>
    </row>
    <row r="21" spans="1:15" ht="12.7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N21">
        <v>0.93</v>
      </c>
      <c r="O21">
        <f>-0.5051*N21^3+2.8423*N21^2-5.2948*N21+3.3616</f>
        <v>0.4894605493000004</v>
      </c>
    </row>
    <row r="22" spans="1:15" ht="12.75">
      <c r="A22">
        <v>85</v>
      </c>
      <c r="B22">
        <f>(A22-offset)/gain</f>
        <v>0.888196705956692</v>
      </c>
      <c r="C22">
        <v>119498</v>
      </c>
      <c r="D22">
        <v>1141</v>
      </c>
      <c r="F22">
        <v>609</v>
      </c>
      <c r="G22">
        <f>(F22+E22)/(D22-14*2)</f>
        <v>0.5471698113207547</v>
      </c>
      <c r="N22">
        <f>N21+0.01</f>
        <v>0.9400000000000001</v>
      </c>
      <c r="O22">
        <f>-0.5051*N22^3+2.8423*N22^2-5.2948*N22+3.3616</f>
        <v>0.4764163015999996</v>
      </c>
    </row>
    <row r="23" spans="1:15" ht="12.75">
      <c r="A23">
        <v>100</v>
      </c>
      <c r="B23">
        <f>(A23-offset)/gain</f>
        <v>1.020305135522978</v>
      </c>
      <c r="C23">
        <v>27135</v>
      </c>
      <c r="D23">
        <v>1990</v>
      </c>
      <c r="F23">
        <v>749</v>
      </c>
      <c r="G23">
        <f>(F23+E23)/(D23-14*2)</f>
        <v>0.3817533129459735</v>
      </c>
      <c r="N23">
        <f>N22+0.01</f>
        <v>0.9500000000000001</v>
      </c>
      <c r="O23">
        <f>-0.5051*N23^3+2.8423*N23^2-5.2948*N23+3.3616</f>
        <v>0.46365563749999916</v>
      </c>
    </row>
    <row r="24" spans="1:15" ht="12.75">
      <c r="A24">
        <v>120</v>
      </c>
      <c r="B24">
        <f>(A24-offset)/gain</f>
        <v>1.1964497082780257</v>
      </c>
      <c r="C24">
        <v>18150</v>
      </c>
      <c r="D24">
        <v>1812</v>
      </c>
      <c r="F24">
        <v>411</v>
      </c>
      <c r="G24">
        <f>(F24+E24)/(D24-14*2)</f>
        <v>0.2303811659192825</v>
      </c>
      <c r="N24">
        <f>N23+0.01</f>
        <v>0.9600000000000001</v>
      </c>
      <c r="O24">
        <f>-0.5051*N24^3+2.8423*N24^2-5.2948*N24+3.3616</f>
        <v>0.45117552640000014</v>
      </c>
    </row>
    <row r="25" spans="1:15" ht="12.75">
      <c r="A25">
        <v>150</v>
      </c>
      <c r="B25">
        <f>(A25-offset)/gain</f>
        <v>1.4606665674105976</v>
      </c>
      <c r="C25">
        <v>12589</v>
      </c>
      <c r="D25">
        <v>1266</v>
      </c>
      <c r="F25">
        <v>146</v>
      </c>
      <c r="G25">
        <f>(F25+E25)/(D25-14*2)</f>
        <v>0.11793214862681745</v>
      </c>
      <c r="N25">
        <f>N24+0.01</f>
        <v>0.9700000000000001</v>
      </c>
      <c r="O25">
        <f>-0.5051*N25^3+2.8423*N25^2-5.2948*N25+3.3616</f>
        <v>0.4389729376999991</v>
      </c>
    </row>
    <row r="26" spans="14:15" ht="12.75">
      <c r="N26">
        <f>N25+0.01</f>
        <v>0.9800000000000001</v>
      </c>
      <c r="O26">
        <f>-0.5051*N26^3+2.8423*N26^2-5.2948*N26+3.3616</f>
        <v>0.4270448407999994</v>
      </c>
    </row>
    <row r="28" ht="13.5" customHeight="1"/>
    <row r="30" ht="12.75">
      <c r="A30" t="s">
        <v>16</v>
      </c>
    </row>
    <row r="31" spans="1:15" ht="12.75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N31">
        <v>1.18</v>
      </c>
      <c r="O31">
        <f>0.0949*N31^3+0.1704*N31^2-1.7422*N31+2.1655</f>
        <v>0.5028926968000003</v>
      </c>
    </row>
    <row r="32" spans="1:15" ht="12.75">
      <c r="A32">
        <v>100</v>
      </c>
      <c r="B32">
        <f>(A32-offset)/gain</f>
        <v>1.020305135522978</v>
      </c>
      <c r="C32">
        <v>35680</v>
      </c>
      <c r="D32">
        <v>1843</v>
      </c>
      <c r="E32">
        <v>5</v>
      </c>
      <c r="F32">
        <v>1204</v>
      </c>
      <c r="G32">
        <f>(F32+E32)/(D32-14*2)</f>
        <v>0.6661157024793388</v>
      </c>
      <c r="N32">
        <f aca="true" t="shared" si="0" ref="N32:N37">N31+0.01</f>
        <v>1.19</v>
      </c>
      <c r="O32">
        <f aca="true" t="shared" si="1" ref="O32:O37">0.0949*N32^3+0.1704*N32^2-1.7422*N32+2.1655</f>
        <v>0.4935070291000003</v>
      </c>
    </row>
    <row r="33" spans="1:15" ht="12.75">
      <c r="A33">
        <v>120</v>
      </c>
      <c r="B33">
        <f>(A33-offset)/gain</f>
        <v>1.1964497082780257</v>
      </c>
      <c r="C33">
        <v>29091</v>
      </c>
      <c r="D33">
        <v>1950</v>
      </c>
      <c r="F33">
        <v>937</v>
      </c>
      <c r="G33">
        <f>(F33+E33)/(D33-14*2)</f>
        <v>0.4875130072840791</v>
      </c>
      <c r="N33">
        <f t="shared" si="0"/>
        <v>1.2</v>
      </c>
      <c r="O33">
        <f t="shared" si="1"/>
        <v>0.4842232000000002</v>
      </c>
    </row>
    <row r="34" spans="1:15" ht="12.75">
      <c r="A34">
        <v>150</v>
      </c>
      <c r="B34">
        <f>(A34-offset)/gain</f>
        <v>1.4606665674105976</v>
      </c>
      <c r="C34">
        <v>20317</v>
      </c>
      <c r="D34">
        <v>1867</v>
      </c>
      <c r="F34">
        <v>515</v>
      </c>
      <c r="G34">
        <f>(F34+E34)/(D34-14*2)</f>
        <v>0.28004350190320826</v>
      </c>
      <c r="N34">
        <f t="shared" si="0"/>
        <v>1.21</v>
      </c>
      <c r="O34">
        <f t="shared" si="1"/>
        <v>0.4750417789000003</v>
      </c>
    </row>
    <row r="35" spans="1:15" ht="12.75">
      <c r="A35">
        <v>180</v>
      </c>
      <c r="B35">
        <f>(A35-offset)/gain</f>
        <v>1.7248834265431694</v>
      </c>
      <c r="C35">
        <v>14533</v>
      </c>
      <c r="D35">
        <v>1867</v>
      </c>
      <c r="F35">
        <v>284</v>
      </c>
      <c r="G35">
        <f>(F35+E35)/(D35-14*2)</f>
        <v>0.15443175638934203</v>
      </c>
      <c r="N35">
        <f t="shared" si="0"/>
        <v>1.22</v>
      </c>
      <c r="O35">
        <f t="shared" si="1"/>
        <v>0.46596333520000055</v>
      </c>
    </row>
    <row r="36" spans="14:15" ht="12.75">
      <c r="N36">
        <f t="shared" si="0"/>
        <v>1.23</v>
      </c>
      <c r="O36">
        <f t="shared" si="1"/>
        <v>0.45698843830000024</v>
      </c>
    </row>
    <row r="37" spans="14:15" ht="12.75">
      <c r="N37">
        <f t="shared" si="0"/>
        <v>1.24</v>
      </c>
      <c r="O37">
        <f t="shared" si="1"/>
        <v>0.44811765760000055</v>
      </c>
    </row>
    <row r="39" ht="12.75">
      <c r="A39" t="s">
        <v>15</v>
      </c>
    </row>
    <row r="40" spans="1:15" ht="12.75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  <c r="N40">
        <v>1.66</v>
      </c>
      <c r="O40">
        <f>0.5224*N40^3-2.4846*N40^2+3.1546*N40-0.2761</f>
        <v>0.5035844704000003</v>
      </c>
    </row>
    <row r="41" spans="1:15" ht="12.75">
      <c r="A41">
        <v>100</v>
      </c>
      <c r="B41">
        <f aca="true" t="shared" si="2" ref="B41:B46">(A41-offset)/gain</f>
        <v>1.020305135522978</v>
      </c>
      <c r="C41">
        <v>49223</v>
      </c>
      <c r="D41">
        <v>1845</v>
      </c>
      <c r="F41">
        <v>1647</v>
      </c>
      <c r="G41">
        <f aca="true" t="shared" si="3" ref="G41:G46">(F41+E41)/(D41-14*2)</f>
        <v>0.9064391854705559</v>
      </c>
      <c r="N41">
        <f aca="true" t="shared" si="4" ref="N41:N46">N40+0.01</f>
        <v>1.67</v>
      </c>
      <c r="O41">
        <f aca="true" t="shared" si="5" ref="O41:O46">0.5224*N41^3-2.4846*N41^2+3.1546*N41-0.2761</f>
        <v>0.4958397311999998</v>
      </c>
    </row>
    <row r="42" spans="1:15" ht="12.75">
      <c r="A42">
        <v>120</v>
      </c>
      <c r="B42">
        <f t="shared" si="2"/>
        <v>1.1964497082780257</v>
      </c>
      <c r="C42">
        <v>43887</v>
      </c>
      <c r="D42">
        <v>1806</v>
      </c>
      <c r="F42">
        <v>1502</v>
      </c>
      <c r="G42">
        <f t="shared" si="3"/>
        <v>0.8447694038245219</v>
      </c>
      <c r="N42">
        <f t="shared" si="4"/>
        <v>1.68</v>
      </c>
      <c r="O42">
        <f t="shared" si="5"/>
        <v>0.48812151680000015</v>
      </c>
    </row>
    <row r="43" spans="1:15" ht="12.75">
      <c r="A43">
        <v>150</v>
      </c>
      <c r="B43">
        <f t="shared" si="2"/>
        <v>1.4606665674105976</v>
      </c>
      <c r="C43">
        <v>35849</v>
      </c>
      <c r="D43">
        <v>1899</v>
      </c>
      <c r="F43">
        <v>1235</v>
      </c>
      <c r="G43">
        <f t="shared" si="3"/>
        <v>0.6600748262960984</v>
      </c>
      <c r="N43">
        <f t="shared" si="4"/>
        <v>1.69</v>
      </c>
      <c r="O43">
        <f t="shared" si="5"/>
        <v>0.4804329616000005</v>
      </c>
    </row>
    <row r="44" spans="1:15" ht="12.75">
      <c r="A44">
        <v>180</v>
      </c>
      <c r="B44">
        <f t="shared" si="2"/>
        <v>1.7248834265431694</v>
      </c>
      <c r="C44">
        <v>27873</v>
      </c>
      <c r="D44">
        <v>1819</v>
      </c>
      <c r="F44">
        <v>787</v>
      </c>
      <c r="G44">
        <f t="shared" si="3"/>
        <v>0.43941931881630375</v>
      </c>
      <c r="N44">
        <f t="shared" si="4"/>
        <v>1.7</v>
      </c>
      <c r="O44">
        <f t="shared" si="5"/>
        <v>0.4727772000000008</v>
      </c>
    </row>
    <row r="45" spans="1:15" ht="12.75">
      <c r="A45">
        <v>210</v>
      </c>
      <c r="B45">
        <f t="shared" si="2"/>
        <v>1.9891002856757412</v>
      </c>
      <c r="C45">
        <v>21387</v>
      </c>
      <c r="D45">
        <v>1856</v>
      </c>
      <c r="F45">
        <v>537</v>
      </c>
      <c r="G45">
        <f t="shared" si="3"/>
        <v>0.2937636761487965</v>
      </c>
      <c r="N45">
        <f t="shared" si="4"/>
        <v>1.71</v>
      </c>
      <c r="O45">
        <f t="shared" si="5"/>
        <v>0.46515736640000016</v>
      </c>
    </row>
    <row r="46" spans="1:15" ht="12.75">
      <c r="A46">
        <v>240</v>
      </c>
      <c r="B46">
        <f t="shared" si="2"/>
        <v>2.253317144808313</v>
      </c>
      <c r="C46">
        <v>17108</v>
      </c>
      <c r="D46">
        <v>1816</v>
      </c>
      <c r="F46">
        <v>340</v>
      </c>
      <c r="G46">
        <f t="shared" si="3"/>
        <v>0.19015659955257272</v>
      </c>
      <c r="N46">
        <f t="shared" si="4"/>
        <v>1.72</v>
      </c>
      <c r="O46">
        <f t="shared" si="5"/>
        <v>0.4575765952000004</v>
      </c>
    </row>
    <row r="51" ht="12.75">
      <c r="A51" t="s">
        <v>9</v>
      </c>
    </row>
    <row r="52" spans="1:15" ht="12.75">
      <c r="A52" t="s">
        <v>0</v>
      </c>
      <c r="B52" t="s">
        <v>1</v>
      </c>
      <c r="C52" t="s">
        <v>2</v>
      </c>
      <c r="D52" t="s">
        <v>3</v>
      </c>
      <c r="E52" t="s">
        <v>4</v>
      </c>
      <c r="F52" t="s">
        <v>5</v>
      </c>
      <c r="G52" t="s">
        <v>6</v>
      </c>
      <c r="N52">
        <v>2.06</v>
      </c>
      <c r="O52">
        <f>0.3785*N52^3-2.175*N52^2+3.4937*N52-0.7772</f>
        <v>0.4987693560000027</v>
      </c>
    </row>
    <row r="53" spans="1:15" ht="12.75">
      <c r="A53">
        <v>100</v>
      </c>
      <c r="B53">
        <f aca="true" t="shared" si="6" ref="B53:B58">(A53-offset)/gain</f>
        <v>1.020305135522978</v>
      </c>
      <c r="C53">
        <v>58784</v>
      </c>
      <c r="D53">
        <v>1802</v>
      </c>
      <c r="F53">
        <v>1709</v>
      </c>
      <c r="G53">
        <f aca="true" t="shared" si="7" ref="G53:G58">(F53+E53)/(D53-14*2)</f>
        <v>0.9633596392333709</v>
      </c>
      <c r="N53">
        <f>N52+0.01</f>
        <v>2.07</v>
      </c>
      <c r="O53">
        <f>0.3785*N53^3-2.175*N53^2+3.4937*N53-0.7772</f>
        <v>0.4922992255000006</v>
      </c>
    </row>
    <row r="54" spans="1:15" ht="12.75">
      <c r="A54">
        <v>150</v>
      </c>
      <c r="B54">
        <f t="shared" si="6"/>
        <v>1.4606665674105976</v>
      </c>
      <c r="C54">
        <v>46388</v>
      </c>
      <c r="D54">
        <v>1823</v>
      </c>
      <c r="F54">
        <v>1553</v>
      </c>
      <c r="G54">
        <f t="shared" si="7"/>
        <v>0.8651810584958217</v>
      </c>
      <c r="N54">
        <f>N53+0.01</f>
        <v>2.0799999999999996</v>
      </c>
      <c r="O54">
        <f>0.3785*N54^3-2.175*N54^2+3.4937*N54-0.7772</f>
        <v>0.48586419200000164</v>
      </c>
    </row>
    <row r="55" spans="1:15" ht="12.75">
      <c r="A55">
        <v>180</v>
      </c>
      <c r="B55">
        <f t="shared" si="6"/>
        <v>1.7248834265431694</v>
      </c>
      <c r="C55">
        <v>39069</v>
      </c>
      <c r="D55">
        <v>1808</v>
      </c>
      <c r="F55">
        <v>1282</v>
      </c>
      <c r="G55">
        <f t="shared" si="7"/>
        <v>0.7202247191011236</v>
      </c>
      <c r="N55">
        <f>N54+0.01</f>
        <v>2.0899999999999994</v>
      </c>
      <c r="O55">
        <f>0.3785*N55^3-2.175*N55^2+3.4937*N55-0.7772</f>
        <v>0.479466526500001</v>
      </c>
    </row>
    <row r="56" spans="1:15" ht="12.75">
      <c r="A56">
        <v>210</v>
      </c>
      <c r="B56">
        <f t="shared" si="6"/>
        <v>1.9891002856757412</v>
      </c>
      <c r="C56">
        <v>32009</v>
      </c>
      <c r="D56">
        <v>1837</v>
      </c>
      <c r="F56">
        <v>988</v>
      </c>
      <c r="G56">
        <f t="shared" si="7"/>
        <v>0.5461580983969043</v>
      </c>
      <c r="N56">
        <f>N55+0.01</f>
        <v>2.099999999999999</v>
      </c>
      <c r="O56">
        <f>0.3785*N56^3-2.175*N56^2+3.4937*N56-0.7772</f>
        <v>0.47310850000000004</v>
      </c>
    </row>
    <row r="57" spans="1:15" ht="12.75">
      <c r="A57">
        <v>240</v>
      </c>
      <c r="B57">
        <f t="shared" si="6"/>
        <v>2.253317144808313</v>
      </c>
      <c r="C57">
        <v>26144</v>
      </c>
      <c r="D57">
        <v>1741</v>
      </c>
      <c r="F57">
        <v>655</v>
      </c>
      <c r="G57">
        <f t="shared" si="7"/>
        <v>0.38237011091652073</v>
      </c>
      <c r="N57">
        <f>N56+0.01</f>
        <v>2.109999999999999</v>
      </c>
      <c r="O57">
        <f>0.3785*N57^3-2.175*N57^2+3.4937*N57-0.7772</f>
        <v>0.46679238350000285</v>
      </c>
    </row>
    <row r="58" spans="1:7" ht="12.75">
      <c r="A58">
        <v>270</v>
      </c>
      <c r="B58">
        <f t="shared" si="6"/>
        <v>2.517534003940885</v>
      </c>
      <c r="C58">
        <v>21235</v>
      </c>
      <c r="D58">
        <v>1909</v>
      </c>
      <c r="F58">
        <v>514</v>
      </c>
      <c r="G58">
        <f t="shared" si="7"/>
        <v>0.2732589048378522</v>
      </c>
    </row>
    <row r="64" ht="12.75">
      <c r="A64" t="s">
        <v>19</v>
      </c>
    </row>
    <row r="65" spans="1:15" ht="12.7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N65">
        <v>2.63</v>
      </c>
      <c r="O65">
        <f>0.1339*N65^3-1.0232*N65^2+2.1069*N65-0.3976</f>
        <v>0.5020096732999997</v>
      </c>
    </row>
    <row r="66" spans="1:15" ht="12.75">
      <c r="A66">
        <v>100</v>
      </c>
      <c r="B66">
        <f aca="true" t="shared" si="8" ref="B66:B73">(A66-offset)/gain</f>
        <v>1.020305135522978</v>
      </c>
      <c r="C66">
        <v>70828</v>
      </c>
      <c r="D66">
        <v>1829</v>
      </c>
      <c r="E66">
        <v>20</v>
      </c>
      <c r="F66">
        <v>1741</v>
      </c>
      <c r="G66">
        <f aca="true" t="shared" si="9" ref="G66:G73">(F66+E66)/(D66-14*2)</f>
        <v>0.9777901166018879</v>
      </c>
      <c r="N66">
        <f aca="true" t="shared" si="10" ref="N66:N71">N65+0.01</f>
        <v>2.6399999999999997</v>
      </c>
      <c r="O66">
        <f aca="true" t="shared" si="11" ref="O66:O71">0.1339*N66^3-1.0232*N66^2+2.1069*N66-0.3976</f>
        <v>0.4970470015999992</v>
      </c>
    </row>
    <row r="67" spans="1:15" ht="12.75">
      <c r="A67">
        <v>180</v>
      </c>
      <c r="B67">
        <f t="shared" si="8"/>
        <v>1.7248834265431694</v>
      </c>
      <c r="C67">
        <v>50411</v>
      </c>
      <c r="D67">
        <v>1831</v>
      </c>
      <c r="F67">
        <v>1590</v>
      </c>
      <c r="G67">
        <f t="shared" si="9"/>
        <v>0.8818635607321131</v>
      </c>
      <c r="N67">
        <f t="shared" si="10"/>
        <v>2.6499999999999995</v>
      </c>
      <c r="O67">
        <f t="shared" si="11"/>
        <v>0.49209178749999943</v>
      </c>
    </row>
    <row r="68" spans="1:15" ht="12.75">
      <c r="A68">
        <v>210</v>
      </c>
      <c r="B68">
        <f t="shared" si="8"/>
        <v>1.9891002856757412</v>
      </c>
      <c r="C68">
        <v>43888</v>
      </c>
      <c r="D68">
        <v>1835</v>
      </c>
      <c r="F68">
        <v>1433</v>
      </c>
      <c r="G68">
        <f t="shared" si="9"/>
        <v>0.793027116768124</v>
      </c>
      <c r="N68">
        <f t="shared" si="10"/>
        <v>2.6599999999999993</v>
      </c>
      <c r="O68">
        <f t="shared" si="11"/>
        <v>0.4871448343999993</v>
      </c>
    </row>
    <row r="69" spans="1:15" ht="12.75">
      <c r="A69">
        <v>240</v>
      </c>
      <c r="B69">
        <f t="shared" si="8"/>
        <v>2.253317144808313</v>
      </c>
      <c r="C69">
        <v>38494</v>
      </c>
      <c r="D69">
        <v>1932</v>
      </c>
      <c r="F69">
        <v>1305</v>
      </c>
      <c r="G69">
        <f t="shared" si="9"/>
        <v>0.6853991596638656</v>
      </c>
      <c r="N69">
        <f t="shared" si="10"/>
        <v>2.669999999999999</v>
      </c>
      <c r="O69">
        <f t="shared" si="11"/>
        <v>0.4822069456999986</v>
      </c>
    </row>
    <row r="70" spans="1:15" ht="12.75">
      <c r="A70">
        <v>270</v>
      </c>
      <c r="B70">
        <f t="shared" si="8"/>
        <v>2.517534003940885</v>
      </c>
      <c r="C70">
        <v>33268</v>
      </c>
      <c r="D70">
        <v>1874</v>
      </c>
      <c r="F70">
        <v>1036</v>
      </c>
      <c r="G70">
        <f t="shared" si="9"/>
        <v>0.5612134344528711</v>
      </c>
      <c r="N70">
        <f t="shared" si="10"/>
        <v>2.679999999999999</v>
      </c>
      <c r="O70">
        <f t="shared" si="11"/>
        <v>0.47727892479999906</v>
      </c>
    </row>
    <row r="71" spans="1:15" ht="12.75">
      <c r="A71">
        <v>300</v>
      </c>
      <c r="B71">
        <f t="shared" si="8"/>
        <v>2.7817508630734564</v>
      </c>
      <c r="C71">
        <v>27533</v>
      </c>
      <c r="D71">
        <v>1832</v>
      </c>
      <c r="F71">
        <v>783</v>
      </c>
      <c r="G71">
        <f t="shared" si="9"/>
        <v>0.43403547671840353</v>
      </c>
      <c r="N71">
        <f t="shared" si="10"/>
        <v>2.6899999999999986</v>
      </c>
      <c r="O71">
        <f t="shared" si="11"/>
        <v>0.4723615751000005</v>
      </c>
    </row>
    <row r="72" spans="1:7" ht="12.75">
      <c r="A72">
        <v>330</v>
      </c>
      <c r="B72">
        <f t="shared" si="8"/>
        <v>3.0459677222060284</v>
      </c>
      <c r="C72">
        <v>23494</v>
      </c>
      <c r="D72">
        <v>1806</v>
      </c>
      <c r="F72">
        <v>530</v>
      </c>
      <c r="G72">
        <f t="shared" si="9"/>
        <v>0.2980877390326209</v>
      </c>
    </row>
    <row r="73" spans="1:7" ht="12.75">
      <c r="A73">
        <v>360</v>
      </c>
      <c r="B73">
        <f t="shared" si="8"/>
        <v>3.3101845813386</v>
      </c>
      <c r="C73">
        <v>19849</v>
      </c>
      <c r="D73">
        <v>1877</v>
      </c>
      <c r="F73">
        <v>415</v>
      </c>
      <c r="G73">
        <f t="shared" si="9"/>
        <v>0.22444564629529476</v>
      </c>
    </row>
    <row r="79" ht="12.75">
      <c r="A79" t="s">
        <v>25</v>
      </c>
    </row>
    <row r="80" spans="1:15" ht="12.75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  <c r="N80">
        <v>3.04</v>
      </c>
      <c r="O80">
        <f>0.193*N80^3-1.7508*N80^2+4.8201*N80-3.3958</f>
        <v>0.49934227199999937</v>
      </c>
    </row>
    <row r="81" spans="1:15" ht="12.75">
      <c r="A81">
        <v>100</v>
      </c>
      <c r="B81">
        <f aca="true" t="shared" si="12" ref="B81:B87">(A81-offset)/gain</f>
        <v>1.020305135522978</v>
      </c>
      <c r="C81">
        <v>80470</v>
      </c>
      <c r="D81">
        <v>1836</v>
      </c>
      <c r="E81">
        <v>5</v>
      </c>
      <c r="F81">
        <v>1765</v>
      </c>
      <c r="G81">
        <f aca="true" t="shared" si="13" ref="G81:G87">(F81+E81)/(D81-14*2)</f>
        <v>0.9789823008849557</v>
      </c>
      <c r="N81">
        <f aca="true" t="shared" si="14" ref="N81:N86">N80+0.01</f>
        <v>3.05</v>
      </c>
      <c r="O81">
        <f aca="true" t="shared" si="15" ref="O81:O86">0.193*N81^3-1.7508*N81^2+4.8201*N81-3.3958</f>
        <v>0.49460462500000224</v>
      </c>
    </row>
    <row r="82" spans="1:15" ht="12.75">
      <c r="A82">
        <v>270</v>
      </c>
      <c r="B82">
        <f t="shared" si="12"/>
        <v>2.517534003940885</v>
      </c>
      <c r="C82">
        <v>41312</v>
      </c>
      <c r="D82">
        <v>1795</v>
      </c>
      <c r="F82">
        <v>1270</v>
      </c>
      <c r="G82">
        <f t="shared" si="13"/>
        <v>0.7187323146576118</v>
      </c>
      <c r="N82">
        <f t="shared" si="14"/>
        <v>3.0599999999999996</v>
      </c>
      <c r="O82">
        <f t="shared" si="15"/>
        <v>0.489870008</v>
      </c>
    </row>
    <row r="83" spans="1:15" ht="12.75">
      <c r="A83">
        <v>300</v>
      </c>
      <c r="B83">
        <f t="shared" si="12"/>
        <v>2.7817508630734564</v>
      </c>
      <c r="C83">
        <v>35748</v>
      </c>
      <c r="D83">
        <v>1782</v>
      </c>
      <c r="F83">
        <v>1108</v>
      </c>
      <c r="G83">
        <f t="shared" si="13"/>
        <v>0.6316989737742303</v>
      </c>
      <c r="N83">
        <f t="shared" si="14"/>
        <v>3.0699999999999994</v>
      </c>
      <c r="O83">
        <f t="shared" si="15"/>
        <v>0.4851395790000015</v>
      </c>
    </row>
    <row r="84" spans="1:15" ht="12.75">
      <c r="A84">
        <v>330</v>
      </c>
      <c r="B84">
        <f t="shared" si="12"/>
        <v>3.0459677222060284</v>
      </c>
      <c r="C84">
        <v>31181</v>
      </c>
      <c r="D84">
        <v>1801</v>
      </c>
      <c r="F84">
        <v>859</v>
      </c>
      <c r="G84">
        <f t="shared" si="13"/>
        <v>0.4844895657078398</v>
      </c>
      <c r="N84">
        <f t="shared" si="14"/>
        <v>3.079999999999999</v>
      </c>
      <c r="O84">
        <f t="shared" si="15"/>
        <v>0.4804144960000012</v>
      </c>
    </row>
    <row r="85" spans="1:15" ht="12.75">
      <c r="A85">
        <v>360</v>
      </c>
      <c r="B85">
        <f t="shared" si="12"/>
        <v>3.3101845813386</v>
      </c>
      <c r="C85">
        <v>26905</v>
      </c>
      <c r="D85">
        <v>1866</v>
      </c>
      <c r="F85">
        <v>694</v>
      </c>
      <c r="G85">
        <f t="shared" si="13"/>
        <v>0.37758433079434167</v>
      </c>
      <c r="N85">
        <f t="shared" si="14"/>
        <v>3.089999999999999</v>
      </c>
      <c r="O85">
        <f t="shared" si="15"/>
        <v>0.4756959170000026</v>
      </c>
    </row>
    <row r="86" spans="1:15" ht="12.75">
      <c r="A86">
        <v>390</v>
      </c>
      <c r="B86">
        <f t="shared" si="12"/>
        <v>3.574401440471172</v>
      </c>
      <c r="C86">
        <v>23533</v>
      </c>
      <c r="D86">
        <v>1806</v>
      </c>
      <c r="F86">
        <v>506</v>
      </c>
      <c r="G86">
        <f t="shared" si="13"/>
        <v>0.2845894263217098</v>
      </c>
      <c r="N86">
        <f t="shared" si="14"/>
        <v>3.0999999999999988</v>
      </c>
      <c r="O86">
        <f t="shared" si="15"/>
        <v>0.470985000000002</v>
      </c>
    </row>
    <row r="87" spans="1:7" ht="12.75">
      <c r="A87">
        <v>420</v>
      </c>
      <c r="B87">
        <f t="shared" si="12"/>
        <v>3.838618299603744</v>
      </c>
      <c r="C87">
        <v>20035</v>
      </c>
      <c r="D87">
        <v>1866</v>
      </c>
      <c r="F87">
        <v>412</v>
      </c>
      <c r="G87">
        <f t="shared" si="13"/>
        <v>0.22415669205658323</v>
      </c>
    </row>
    <row r="91" ht="12.75">
      <c r="A91" t="s">
        <v>20</v>
      </c>
    </row>
    <row r="92" spans="1:15" ht="12.75">
      <c r="A92" t="s">
        <v>0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  <c r="N92">
        <v>3.44</v>
      </c>
      <c r="O92">
        <f>0.021*N92^3-0.2225*N92^2+0.4165*N92+0.8443</f>
        <v>0.498943264</v>
      </c>
    </row>
    <row r="93" spans="1:15" ht="12.75">
      <c r="A93">
        <v>100</v>
      </c>
      <c r="B93">
        <f aca="true" t="shared" si="16" ref="B93:B101">(A93-offset)/gain</f>
        <v>1.020305135522978</v>
      </c>
      <c r="C93">
        <v>87975</v>
      </c>
      <c r="D93">
        <v>1790</v>
      </c>
      <c r="E93">
        <v>20</v>
      </c>
      <c r="F93">
        <v>1704</v>
      </c>
      <c r="G93">
        <f aca="true" t="shared" si="17" ref="G93:G101">(F93+E93)/(D93-14*2)</f>
        <v>0.978433598183882</v>
      </c>
      <c r="N93">
        <f aca="true" t="shared" si="18" ref="N93:N99">N92+0.01</f>
        <v>3.4499999999999997</v>
      </c>
      <c r="O93">
        <f aca="true" t="shared" si="19" ref="O93:O99">0.021*N93^3-0.2225*N93^2+0.4165*N93+0.8443</f>
        <v>0.4952548749999999</v>
      </c>
    </row>
    <row r="94" spans="1:15" ht="12.75">
      <c r="A94">
        <v>270</v>
      </c>
      <c r="B94">
        <f t="shared" si="16"/>
        <v>2.517534003940885</v>
      </c>
      <c r="C94">
        <v>47225</v>
      </c>
      <c r="D94">
        <v>1757</v>
      </c>
      <c r="F94">
        <v>1417</v>
      </c>
      <c r="G94">
        <f t="shared" si="17"/>
        <v>0.8195488721804511</v>
      </c>
      <c r="N94">
        <f t="shared" si="18"/>
        <v>3.4599999999999995</v>
      </c>
      <c r="O94">
        <f t="shared" si="19"/>
        <v>0.4915654559999998</v>
      </c>
    </row>
    <row r="95" spans="1:15" ht="12.75">
      <c r="A95">
        <v>300</v>
      </c>
      <c r="B95">
        <f t="shared" si="16"/>
        <v>2.7817508630734564</v>
      </c>
      <c r="C95">
        <v>42273</v>
      </c>
      <c r="D95">
        <v>1783</v>
      </c>
      <c r="F95">
        <v>1274</v>
      </c>
      <c r="G95">
        <f t="shared" si="17"/>
        <v>0.725925925925926</v>
      </c>
      <c r="N95">
        <f t="shared" si="18"/>
        <v>3.4699999999999993</v>
      </c>
      <c r="O95">
        <f t="shared" si="19"/>
        <v>0.4878751330000004</v>
      </c>
    </row>
    <row r="96" spans="1:15" ht="12.75">
      <c r="A96">
        <v>330</v>
      </c>
      <c r="B96">
        <f t="shared" si="16"/>
        <v>3.0459677222060284</v>
      </c>
      <c r="C96">
        <v>37631</v>
      </c>
      <c r="D96">
        <v>1830</v>
      </c>
      <c r="F96">
        <v>1167</v>
      </c>
      <c r="G96">
        <f t="shared" si="17"/>
        <v>0.6476137624861266</v>
      </c>
      <c r="N96">
        <f t="shared" si="18"/>
        <v>3.479999999999999</v>
      </c>
      <c r="O96">
        <f t="shared" si="19"/>
        <v>0.4841840320000004</v>
      </c>
    </row>
    <row r="97" spans="1:15" ht="12.75">
      <c r="A97">
        <v>360</v>
      </c>
      <c r="B97">
        <f t="shared" si="16"/>
        <v>3.3101845813386</v>
      </c>
      <c r="C97">
        <v>32830</v>
      </c>
      <c r="D97">
        <v>1841</v>
      </c>
      <c r="F97">
        <v>981</v>
      </c>
      <c r="G97">
        <f t="shared" si="17"/>
        <v>0.5410921125206839</v>
      </c>
      <c r="N97">
        <f t="shared" si="18"/>
        <v>3.489999999999999</v>
      </c>
      <c r="O97">
        <f t="shared" si="19"/>
        <v>0.48049227900000036</v>
      </c>
    </row>
    <row r="98" spans="1:15" ht="12.75">
      <c r="A98">
        <v>390</v>
      </c>
      <c r="B98">
        <f t="shared" si="16"/>
        <v>3.574401440471172</v>
      </c>
      <c r="C98">
        <v>29497</v>
      </c>
      <c r="D98">
        <v>1803</v>
      </c>
      <c r="F98">
        <v>808</v>
      </c>
      <c r="G98">
        <f t="shared" si="17"/>
        <v>0.4552112676056338</v>
      </c>
      <c r="N98">
        <f t="shared" si="18"/>
        <v>3.4999999999999987</v>
      </c>
      <c r="O98">
        <f t="shared" si="19"/>
        <v>0.47680000000000033</v>
      </c>
    </row>
    <row r="99" spans="1:15" ht="12.75">
      <c r="A99">
        <v>420</v>
      </c>
      <c r="B99">
        <f t="shared" si="16"/>
        <v>3.838618299603744</v>
      </c>
      <c r="C99">
        <v>25497</v>
      </c>
      <c r="D99">
        <v>1777</v>
      </c>
      <c r="F99">
        <v>600</v>
      </c>
      <c r="G99">
        <f t="shared" si="17"/>
        <v>0.34305317324185247</v>
      </c>
      <c r="N99">
        <f t="shared" si="18"/>
        <v>3.5099999999999985</v>
      </c>
      <c r="O99">
        <f t="shared" si="19"/>
        <v>0.4731073210000005</v>
      </c>
    </row>
    <row r="100" spans="1:7" ht="12.75">
      <c r="A100">
        <v>450</v>
      </c>
      <c r="B100">
        <f t="shared" si="16"/>
        <v>4.102835158736315</v>
      </c>
      <c r="C100">
        <v>22127</v>
      </c>
      <c r="D100">
        <v>1829</v>
      </c>
      <c r="F100">
        <v>465</v>
      </c>
      <c r="G100">
        <f t="shared" si="17"/>
        <v>0.25818989450305385</v>
      </c>
    </row>
    <row r="101" spans="1:7" ht="12.75">
      <c r="A101">
        <v>480</v>
      </c>
      <c r="B101">
        <f t="shared" si="16"/>
        <v>4.367052017868887</v>
      </c>
      <c r="G101">
        <f t="shared" si="17"/>
        <v>0</v>
      </c>
    </row>
    <row r="105" spans="1:14" ht="12.75">
      <c r="A105" t="s">
        <v>24</v>
      </c>
      <c r="N105">
        <v>3.64</v>
      </c>
    </row>
    <row r="106" spans="1:15" ht="12.7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N106">
        <v>3.68</v>
      </c>
      <c r="O106">
        <f>0.0798*N106^3-0.8954*N106^2+2.9535*N106-2.2187</f>
        <v>0.501230393600002</v>
      </c>
    </row>
    <row r="107" spans="1:15" ht="12.75">
      <c r="A107">
        <v>100</v>
      </c>
      <c r="B107">
        <f aca="true" t="shared" si="20" ref="B107:B114">(A107-offset)/gain</f>
        <v>1.020305135522978</v>
      </c>
      <c r="C107">
        <v>91607</v>
      </c>
      <c r="D107">
        <v>1573</v>
      </c>
      <c r="E107">
        <v>15</v>
      </c>
      <c r="F107">
        <v>1510</v>
      </c>
      <c r="G107">
        <f aca="true" t="shared" si="21" ref="G107:G115">(F107+E107)/(D107-14*2)</f>
        <v>0.9870550161812298</v>
      </c>
      <c r="N107">
        <f aca="true" t="shared" si="22" ref="N107:N114">N106+0.01</f>
        <v>3.69</v>
      </c>
      <c r="O107">
        <f aca="true" t="shared" si="23" ref="O107:O114">0.0798*N107^3-0.8954*N107^2+2.9535*N107-2.2187</f>
        <v>0.4972830981999987</v>
      </c>
    </row>
    <row r="108" spans="1:15" ht="12.75">
      <c r="A108">
        <v>300</v>
      </c>
      <c r="B108">
        <f t="shared" si="20"/>
        <v>2.7817508630734564</v>
      </c>
      <c r="C108">
        <v>45663</v>
      </c>
      <c r="D108">
        <v>1479</v>
      </c>
      <c r="F108">
        <v>1140</v>
      </c>
      <c r="G108">
        <f t="shared" si="21"/>
        <v>0.7856650585802895</v>
      </c>
      <c r="N108">
        <f t="shared" si="22"/>
        <v>3.6999999999999997</v>
      </c>
      <c r="O108">
        <f t="shared" si="23"/>
        <v>0.49333339999999914</v>
      </c>
    </row>
    <row r="109" spans="1:15" ht="12.75">
      <c r="A109">
        <v>330</v>
      </c>
      <c r="B109">
        <f t="shared" si="20"/>
        <v>3.0459677222060284</v>
      </c>
      <c r="C109">
        <v>41135</v>
      </c>
      <c r="D109">
        <v>1475</v>
      </c>
      <c r="F109">
        <v>1046</v>
      </c>
      <c r="G109">
        <f t="shared" si="21"/>
        <v>0.7228749136143746</v>
      </c>
      <c r="N109">
        <f t="shared" si="22"/>
        <v>3.7099999999999995</v>
      </c>
      <c r="O109">
        <f t="shared" si="23"/>
        <v>0.48938177780000025</v>
      </c>
    </row>
    <row r="110" spans="1:15" ht="12.75">
      <c r="A110">
        <v>360</v>
      </c>
      <c r="B110">
        <f t="shared" si="20"/>
        <v>3.3101845813386</v>
      </c>
      <c r="C110">
        <v>36622</v>
      </c>
      <c r="D110">
        <v>1304</v>
      </c>
      <c r="F110">
        <v>832</v>
      </c>
      <c r="G110">
        <f t="shared" si="21"/>
        <v>0.6520376175548589</v>
      </c>
      <c r="N110">
        <f t="shared" si="22"/>
        <v>3.7199999999999993</v>
      </c>
      <c r="O110">
        <f t="shared" si="23"/>
        <v>0.4854287104000008</v>
      </c>
    </row>
    <row r="111" spans="1:15" ht="12.75">
      <c r="A111" s="4">
        <v>390</v>
      </c>
      <c r="B111">
        <f t="shared" si="20"/>
        <v>3.574401440471172</v>
      </c>
      <c r="C111">
        <v>33805</v>
      </c>
      <c r="D111">
        <v>1455</v>
      </c>
      <c r="F111">
        <v>767</v>
      </c>
      <c r="G111">
        <f t="shared" si="21"/>
        <v>0.5374912403644009</v>
      </c>
      <c r="N111">
        <f t="shared" si="22"/>
        <v>3.729999999999999</v>
      </c>
      <c r="O111">
        <f t="shared" si="23"/>
        <v>0.48147467659999954</v>
      </c>
    </row>
    <row r="112" spans="1:15" ht="12.75">
      <c r="A112" s="3">
        <v>420</v>
      </c>
      <c r="B112">
        <f t="shared" si="20"/>
        <v>3.838618299603744</v>
      </c>
      <c r="C112">
        <v>28638</v>
      </c>
      <c r="D112">
        <v>1463</v>
      </c>
      <c r="F112">
        <v>611</v>
      </c>
      <c r="G112">
        <f t="shared" si="21"/>
        <v>0.42578397212543556</v>
      </c>
      <c r="N112">
        <f t="shared" si="22"/>
        <v>3.739999999999999</v>
      </c>
      <c r="O112">
        <f t="shared" si="23"/>
        <v>0.4775201551999988</v>
      </c>
    </row>
    <row r="113" spans="1:15" ht="12.75">
      <c r="A113">
        <v>450</v>
      </c>
      <c r="B113">
        <f t="shared" si="20"/>
        <v>4.102835158736315</v>
      </c>
      <c r="C113">
        <v>24658</v>
      </c>
      <c r="D113">
        <v>1219</v>
      </c>
      <c r="F113">
        <v>423</v>
      </c>
      <c r="G113">
        <f t="shared" si="21"/>
        <v>0.35516372795969775</v>
      </c>
      <c r="N113">
        <f t="shared" si="22"/>
        <v>3.7499999999999987</v>
      </c>
      <c r="O113">
        <f t="shared" si="23"/>
        <v>0.47356562500000265</v>
      </c>
    </row>
    <row r="114" spans="1:15" ht="12.75">
      <c r="A114">
        <v>480</v>
      </c>
      <c r="B114">
        <f t="shared" si="20"/>
        <v>4.367052017868887</v>
      </c>
      <c r="C114">
        <v>22026</v>
      </c>
      <c r="D114">
        <v>1397</v>
      </c>
      <c r="F114">
        <v>335</v>
      </c>
      <c r="G114">
        <f t="shared" si="21"/>
        <v>0.24470416362308253</v>
      </c>
      <c r="N114">
        <f t="shared" si="22"/>
        <v>3.7599999999999985</v>
      </c>
      <c r="O114">
        <f t="shared" si="23"/>
        <v>0.469611564800001</v>
      </c>
    </row>
    <row r="120" ht="12.75">
      <c r="A120" t="s">
        <v>21</v>
      </c>
    </row>
    <row r="121" spans="1:15" ht="12.75">
      <c r="A121" t="s">
        <v>0</v>
      </c>
      <c r="B121" t="s">
        <v>1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  <c r="N121">
        <v>3.61</v>
      </c>
      <c r="O121">
        <f>0.0137*N121^3-0.1227*N121^2+0.0055*N121+1.4361</f>
        <v>0.5014448996999997</v>
      </c>
    </row>
    <row r="122" spans="1:15" ht="12.75">
      <c r="A122">
        <v>100</v>
      </c>
      <c r="B122">
        <f aca="true" t="shared" si="24" ref="B122:B129">(A122-offset)/gain</f>
        <v>1.020305135522978</v>
      </c>
      <c r="C122">
        <v>91935</v>
      </c>
      <c r="D122">
        <v>794</v>
      </c>
      <c r="F122">
        <v>774</v>
      </c>
      <c r="G122">
        <f aca="true" t="shared" si="25" ref="G122:G129">(F122+E122)/(D122-14*2)</f>
        <v>1.010443864229765</v>
      </c>
      <c r="N122">
        <f aca="true" t="shared" si="26" ref="N122:N129">N121+0.01</f>
        <v>3.6199999999999997</v>
      </c>
      <c r="O122">
        <f aca="true" t="shared" si="27" ref="O122:O129">0.0137*N122^3-0.1227*N122^2+0.0055*N122+1.4361</f>
        <v>0.49799973360000005</v>
      </c>
    </row>
    <row r="123" spans="1:15" ht="12.75">
      <c r="A123">
        <v>300</v>
      </c>
      <c r="B123">
        <f t="shared" si="24"/>
        <v>2.7817508630734564</v>
      </c>
      <c r="C123">
        <v>45595</v>
      </c>
      <c r="D123">
        <v>1335</v>
      </c>
      <c r="F123">
        <v>1042</v>
      </c>
      <c r="G123">
        <f t="shared" si="25"/>
        <v>0.7972456006120887</v>
      </c>
      <c r="N123">
        <f t="shared" si="26"/>
        <v>3.6299999999999994</v>
      </c>
      <c r="O123">
        <f t="shared" si="27"/>
        <v>0.4945597839000001</v>
      </c>
    </row>
    <row r="124" spans="1:15" ht="12.75">
      <c r="A124">
        <v>330</v>
      </c>
      <c r="B124">
        <f t="shared" si="24"/>
        <v>3.0459677222060284</v>
      </c>
      <c r="C124">
        <v>40880</v>
      </c>
      <c r="D124">
        <v>1598</v>
      </c>
      <c r="F124">
        <v>1093</v>
      </c>
      <c r="G124">
        <f t="shared" si="25"/>
        <v>0.6961783439490445</v>
      </c>
      <c r="N124">
        <f t="shared" si="26"/>
        <v>3.6399999999999992</v>
      </c>
      <c r="O124">
        <f t="shared" si="27"/>
        <v>0.49112513280000014</v>
      </c>
    </row>
    <row r="125" spans="1:15" ht="12.75">
      <c r="A125">
        <v>360</v>
      </c>
      <c r="B125">
        <f t="shared" si="24"/>
        <v>3.3101845813386</v>
      </c>
      <c r="C125">
        <v>36404</v>
      </c>
      <c r="D125">
        <v>1240</v>
      </c>
      <c r="F125">
        <v>740</v>
      </c>
      <c r="G125">
        <f t="shared" si="25"/>
        <v>0.6105610561056105</v>
      </c>
      <c r="N125">
        <f t="shared" si="26"/>
        <v>3.649999999999999</v>
      </c>
      <c r="O125">
        <f t="shared" si="27"/>
        <v>0.4876958625000003</v>
      </c>
    </row>
    <row r="126" spans="1:15" ht="12.75">
      <c r="A126">
        <v>390</v>
      </c>
      <c r="B126">
        <f t="shared" si="24"/>
        <v>3.574401440471172</v>
      </c>
      <c r="C126">
        <v>32045</v>
      </c>
      <c r="D126">
        <v>1773</v>
      </c>
      <c r="F126">
        <v>884</v>
      </c>
      <c r="G126">
        <f t="shared" si="25"/>
        <v>0.5065902578796562</v>
      </c>
      <c r="N126">
        <f t="shared" si="26"/>
        <v>3.659999999999999</v>
      </c>
      <c r="O126">
        <f t="shared" si="27"/>
        <v>0.48427205520000016</v>
      </c>
    </row>
    <row r="127" spans="1:15" ht="12.75">
      <c r="A127">
        <v>420</v>
      </c>
      <c r="B127">
        <f t="shared" si="24"/>
        <v>3.838618299603744</v>
      </c>
      <c r="C127">
        <v>28560</v>
      </c>
      <c r="D127">
        <v>1539</v>
      </c>
      <c r="F127">
        <v>647</v>
      </c>
      <c r="G127">
        <f t="shared" si="25"/>
        <v>0.42819324950363996</v>
      </c>
      <c r="N127">
        <f t="shared" si="26"/>
        <v>3.6699999999999986</v>
      </c>
      <c r="O127">
        <f t="shared" si="27"/>
        <v>0.4808537931000004</v>
      </c>
    </row>
    <row r="128" spans="1:15" ht="12.75">
      <c r="A128">
        <v>450</v>
      </c>
      <c r="B128">
        <f t="shared" si="24"/>
        <v>4.102835158736315</v>
      </c>
      <c r="C128">
        <v>24707</v>
      </c>
      <c r="D128">
        <v>1558</v>
      </c>
      <c r="F128">
        <v>507</v>
      </c>
      <c r="G128">
        <f t="shared" si="25"/>
        <v>0.33137254901960783</v>
      </c>
      <c r="N128">
        <f t="shared" si="26"/>
        <v>3.6799999999999984</v>
      </c>
      <c r="O128">
        <f t="shared" si="27"/>
        <v>0.47744115840000056</v>
      </c>
    </row>
    <row r="129" spans="1:15" ht="12.75">
      <c r="A129">
        <v>480</v>
      </c>
      <c r="B129">
        <f t="shared" si="24"/>
        <v>4.367052017868887</v>
      </c>
      <c r="C129">
        <v>21949</v>
      </c>
      <c r="D129">
        <v>1587</v>
      </c>
      <c r="F129">
        <v>404</v>
      </c>
      <c r="G129">
        <f t="shared" si="25"/>
        <v>0.2591404746632457</v>
      </c>
      <c r="N129">
        <f t="shared" si="26"/>
        <v>3.689999999999998</v>
      </c>
      <c r="O129">
        <f t="shared" si="27"/>
        <v>0.4740342333000004</v>
      </c>
    </row>
    <row r="133" ht="12.75">
      <c r="A133" t="s">
        <v>22</v>
      </c>
    </row>
    <row r="134" spans="1:15" ht="12.75">
      <c r="A134" t="s">
        <v>0</v>
      </c>
      <c r="B134" t="s">
        <v>1</v>
      </c>
      <c r="C134" t="s">
        <v>2</v>
      </c>
      <c r="D134" t="s">
        <v>3</v>
      </c>
      <c r="E134" t="s">
        <v>4</v>
      </c>
      <c r="F134" t="s">
        <v>5</v>
      </c>
      <c r="G134" t="s">
        <v>6</v>
      </c>
      <c r="N134">
        <v>3.59</v>
      </c>
      <c r="O134">
        <f>0.1404*N134^3-1.483*N134^2+4.8167*N134-4.1737</f>
        <v>0.5012670715999992</v>
      </c>
    </row>
    <row r="135" spans="1:15" ht="12.75">
      <c r="A135">
        <v>100</v>
      </c>
      <c r="B135">
        <f aca="true" t="shared" si="28" ref="B135:B141">(A135-offset)/gain</f>
        <v>1.020305135522978</v>
      </c>
      <c r="C135">
        <v>92324</v>
      </c>
      <c r="D135">
        <v>1824</v>
      </c>
      <c r="E135">
        <v>30</v>
      </c>
      <c r="F135">
        <v>1738</v>
      </c>
      <c r="G135">
        <f aca="true" t="shared" si="29" ref="G135:G141">(F135+E135)/(D135-14*2)</f>
        <v>0.9844097995545658</v>
      </c>
      <c r="N135">
        <f aca="true" t="shared" si="30" ref="N135:N142">N134+0.01</f>
        <v>3.5999999999999996</v>
      </c>
      <c r="O135">
        <f aca="true" t="shared" si="31" ref="O135:O142">0.1404*N135^3-1.483*N135^2+4.8167*N135-4.1737</f>
        <v>0.4972423999999993</v>
      </c>
    </row>
    <row r="136" spans="1:15" ht="12.75">
      <c r="A136">
        <v>330</v>
      </c>
      <c r="B136">
        <f t="shared" si="28"/>
        <v>3.0459677222060284</v>
      </c>
      <c r="C136">
        <v>41022</v>
      </c>
      <c r="D136">
        <v>1724</v>
      </c>
      <c r="F136">
        <v>1196</v>
      </c>
      <c r="G136">
        <f t="shared" si="29"/>
        <v>0.7051886792452831</v>
      </c>
      <c r="N136">
        <f t="shared" si="30"/>
        <v>3.6099999999999994</v>
      </c>
      <c r="O136">
        <f t="shared" si="31"/>
        <v>0.4932243923999984</v>
      </c>
    </row>
    <row r="137" spans="1:15" ht="12.75">
      <c r="A137">
        <v>360</v>
      </c>
      <c r="B137">
        <f t="shared" si="28"/>
        <v>3.3101845813386</v>
      </c>
      <c r="C137">
        <v>36081</v>
      </c>
      <c r="D137">
        <v>1649</v>
      </c>
      <c r="F137">
        <v>1002</v>
      </c>
      <c r="G137">
        <f t="shared" si="29"/>
        <v>0.6181369524984578</v>
      </c>
      <c r="N137">
        <f t="shared" si="30"/>
        <v>3.619999999999999</v>
      </c>
      <c r="O137">
        <f t="shared" si="31"/>
        <v>0.4892138911999986</v>
      </c>
    </row>
    <row r="138" spans="1:15" ht="12.75">
      <c r="A138">
        <v>390</v>
      </c>
      <c r="B138">
        <f t="shared" si="28"/>
        <v>3.574401440471172</v>
      </c>
      <c r="C138">
        <v>32000</v>
      </c>
      <c r="D138">
        <v>1702</v>
      </c>
      <c r="F138">
        <v>840</v>
      </c>
      <c r="G138">
        <f t="shared" si="29"/>
        <v>0.5017921146953405</v>
      </c>
      <c r="N138">
        <f t="shared" si="30"/>
        <v>3.629999999999999</v>
      </c>
      <c r="O138">
        <f t="shared" si="31"/>
        <v>0.4852117387999968</v>
      </c>
    </row>
    <row r="139" spans="1:15" ht="12.75">
      <c r="A139">
        <v>420</v>
      </c>
      <c r="B139">
        <f t="shared" si="28"/>
        <v>3.838618299603744</v>
      </c>
      <c r="C139">
        <v>28402</v>
      </c>
      <c r="D139">
        <v>1861</v>
      </c>
      <c r="F139">
        <v>747</v>
      </c>
      <c r="G139">
        <f t="shared" si="29"/>
        <v>0.4075286415711948</v>
      </c>
      <c r="N139">
        <f t="shared" si="30"/>
        <v>3.639999999999999</v>
      </c>
      <c r="O139">
        <f t="shared" si="31"/>
        <v>0.481218777599997</v>
      </c>
    </row>
    <row r="140" spans="1:15" ht="12.75">
      <c r="A140">
        <v>450</v>
      </c>
      <c r="B140">
        <f t="shared" si="28"/>
        <v>4.102835158736315</v>
      </c>
      <c r="C140">
        <v>24916</v>
      </c>
      <c r="D140">
        <v>1592</v>
      </c>
      <c r="F140">
        <v>504</v>
      </c>
      <c r="G140">
        <f t="shared" si="29"/>
        <v>0.32225063938618925</v>
      </c>
      <c r="N140">
        <f t="shared" si="30"/>
        <v>3.6499999999999986</v>
      </c>
      <c r="O140">
        <f t="shared" si="31"/>
        <v>0.477235849999996</v>
      </c>
    </row>
    <row r="141" spans="1:15" ht="12.75">
      <c r="A141">
        <v>480</v>
      </c>
      <c r="B141">
        <f t="shared" si="28"/>
        <v>4.367052017868887</v>
      </c>
      <c r="C141">
        <v>21755</v>
      </c>
      <c r="D141">
        <v>1623</v>
      </c>
      <c r="F141">
        <v>433</v>
      </c>
      <c r="G141">
        <f t="shared" si="29"/>
        <v>0.27147335423197494</v>
      </c>
      <c r="N141">
        <f t="shared" si="30"/>
        <v>3.6599999999999984</v>
      </c>
      <c r="O141">
        <f t="shared" si="31"/>
        <v>0.47326379839999966</v>
      </c>
    </row>
    <row r="142" spans="14:15" ht="12.75">
      <c r="N142">
        <f t="shared" si="30"/>
        <v>3.669999999999998</v>
      </c>
      <c r="O142">
        <f t="shared" si="31"/>
        <v>0.46930346519999944</v>
      </c>
    </row>
    <row r="147" ht="12.75">
      <c r="A147" t="s">
        <v>23</v>
      </c>
    </row>
    <row r="148" spans="1:15" ht="12.75">
      <c r="A148" t="s">
        <v>0</v>
      </c>
      <c r="B148" t="s">
        <v>1</v>
      </c>
      <c r="C148" t="s">
        <v>2</v>
      </c>
      <c r="D148" t="s">
        <v>3</v>
      </c>
      <c r="E148" t="s">
        <v>4</v>
      </c>
      <c r="F148" t="s">
        <v>5</v>
      </c>
      <c r="G148" t="s">
        <v>6</v>
      </c>
      <c r="N148">
        <v>3.56</v>
      </c>
      <c r="O148">
        <f>0.0735*N148^3-0.7438*N148^2+2.0945*N148-0.8448</f>
        <v>0.5011704960000005</v>
      </c>
    </row>
    <row r="149" spans="1:15" ht="12.75">
      <c r="A149">
        <v>100</v>
      </c>
      <c r="B149">
        <f aca="true" t="shared" si="32" ref="B149:B155">(A149-offset)/gain</f>
        <v>1.020305135522978</v>
      </c>
      <c r="C149">
        <v>91913</v>
      </c>
      <c r="D149">
        <v>1706</v>
      </c>
      <c r="E149">
        <v>40</v>
      </c>
      <c r="F149">
        <v>1634</v>
      </c>
      <c r="G149">
        <f aca="true" t="shared" si="33" ref="G149:G155">(F149+E149)/(D149-14*2)</f>
        <v>0.9976162097735399</v>
      </c>
      <c r="N149">
        <f aca="true" t="shared" si="34" ref="N149:N156">N148+0.01</f>
        <v>3.57</v>
      </c>
      <c r="O149">
        <f aca="true" t="shared" si="35" ref="O149:O156">0.0735*N149^3-0.7438*N149^2+2.0945*N149-0.8448</f>
        <v>0.49710641549999957</v>
      </c>
    </row>
    <row r="150" spans="1:15" ht="12.75">
      <c r="A150">
        <v>330</v>
      </c>
      <c r="B150">
        <f t="shared" si="32"/>
        <v>3.0459677222060284</v>
      </c>
      <c r="C150">
        <v>40651</v>
      </c>
      <c r="D150">
        <v>1659</v>
      </c>
      <c r="F150">
        <v>1162</v>
      </c>
      <c r="G150">
        <f t="shared" si="33"/>
        <v>0.7124463519313304</v>
      </c>
      <c r="N150">
        <f t="shared" si="34"/>
        <v>3.5799999999999996</v>
      </c>
      <c r="O150">
        <f t="shared" si="35"/>
        <v>0.4930510120000007</v>
      </c>
    </row>
    <row r="151" spans="1:15" ht="12.75">
      <c r="A151">
        <v>360</v>
      </c>
      <c r="B151">
        <f t="shared" si="32"/>
        <v>3.3101845813386</v>
      </c>
      <c r="C151">
        <v>36253</v>
      </c>
      <c r="D151">
        <v>1656</v>
      </c>
      <c r="F151">
        <v>980</v>
      </c>
      <c r="G151">
        <f t="shared" si="33"/>
        <v>0.601965601965602</v>
      </c>
      <c r="N151">
        <f t="shared" si="34"/>
        <v>3.5899999999999994</v>
      </c>
      <c r="O151">
        <f t="shared" si="35"/>
        <v>0.4890047264999995</v>
      </c>
    </row>
    <row r="152" spans="1:15" ht="12.75">
      <c r="A152">
        <v>390</v>
      </c>
      <c r="B152">
        <f t="shared" si="32"/>
        <v>3.574401440471172</v>
      </c>
      <c r="C152">
        <v>31879</v>
      </c>
      <c r="D152">
        <v>1575</v>
      </c>
      <c r="F152">
        <v>773</v>
      </c>
      <c r="G152">
        <f t="shared" si="33"/>
        <v>0.49967679379444085</v>
      </c>
      <c r="N152">
        <f t="shared" si="34"/>
        <v>3.599999999999999</v>
      </c>
      <c r="O152">
        <f t="shared" si="35"/>
        <v>0.4849680000000005</v>
      </c>
    </row>
    <row r="153" spans="1:15" ht="12.75">
      <c r="A153">
        <v>420</v>
      </c>
      <c r="B153">
        <f t="shared" si="32"/>
        <v>3.838618299603744</v>
      </c>
      <c r="C153">
        <v>28247</v>
      </c>
      <c r="D153">
        <v>1499</v>
      </c>
      <c r="F153">
        <v>577</v>
      </c>
      <c r="G153">
        <f t="shared" si="33"/>
        <v>0.3922501699524133</v>
      </c>
      <c r="N153">
        <f t="shared" si="34"/>
        <v>3.609999999999999</v>
      </c>
      <c r="O153">
        <f t="shared" si="35"/>
        <v>0.48094127350000027</v>
      </c>
    </row>
    <row r="154" spans="1:15" ht="12.75">
      <c r="A154">
        <v>450</v>
      </c>
      <c r="B154">
        <f t="shared" si="32"/>
        <v>4.102835158736315</v>
      </c>
      <c r="C154">
        <v>24906</v>
      </c>
      <c r="D154">
        <v>1762</v>
      </c>
      <c r="F154">
        <v>529</v>
      </c>
      <c r="G154">
        <f t="shared" si="33"/>
        <v>0.30507497116493654</v>
      </c>
      <c r="N154">
        <f t="shared" si="34"/>
        <v>3.6199999999999988</v>
      </c>
      <c r="O154">
        <f t="shared" si="35"/>
        <v>0.4769249879999997</v>
      </c>
    </row>
    <row r="155" spans="1:15" ht="12.75">
      <c r="A155">
        <v>480</v>
      </c>
      <c r="B155">
        <f t="shared" si="32"/>
        <v>4.367052017868887</v>
      </c>
      <c r="C155">
        <v>21824</v>
      </c>
      <c r="D155">
        <v>1881</v>
      </c>
      <c r="F155">
        <v>445</v>
      </c>
      <c r="G155">
        <f t="shared" si="33"/>
        <v>0.24015110631408526</v>
      </c>
      <c r="N155">
        <f t="shared" si="34"/>
        <v>3.6299999999999986</v>
      </c>
      <c r="O155">
        <f t="shared" si="35"/>
        <v>0.4729195844999998</v>
      </c>
    </row>
    <row r="156" spans="14:15" ht="12.75">
      <c r="N156">
        <f t="shared" si="34"/>
        <v>3.6399999999999983</v>
      </c>
      <c r="O156">
        <f t="shared" si="35"/>
        <v>0.46892550399999977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"/>
  <sheetViews>
    <sheetView workbookViewId="0" topLeftCell="A1">
      <selection activeCell="I1" sqref="I1:K13"/>
    </sheetView>
  </sheetViews>
  <sheetFormatPr defaultColWidth="9.140625" defaultRowHeight="12.75"/>
  <cols>
    <col min="1" max="1" width="9.140625" style="0" bestFit="1" customWidth="1"/>
  </cols>
  <sheetData>
    <row r="1" spans="1:11" ht="12.75">
      <c r="A1" t="s">
        <v>14</v>
      </c>
      <c r="D1" t="s">
        <v>7</v>
      </c>
      <c r="E1" t="s">
        <v>8</v>
      </c>
      <c r="I1" t="s">
        <v>10</v>
      </c>
      <c r="J1" t="s">
        <v>11</v>
      </c>
      <c r="K1" t="s">
        <v>12</v>
      </c>
    </row>
    <row r="2" spans="1:10" ht="12.75">
      <c r="A2" s="1">
        <v>39176</v>
      </c>
      <c r="D2">
        <v>113.54309523809526</v>
      </c>
      <c r="E2">
        <v>-15.848603174603172</v>
      </c>
      <c r="I2">
        <v>5</v>
      </c>
      <c r="J2">
        <f>G16</f>
        <v>0.33994169096209914</v>
      </c>
    </row>
    <row r="3" spans="1:11" ht="12.75">
      <c r="A3" s="1"/>
      <c r="I3">
        <v>7</v>
      </c>
      <c r="J3">
        <f>G24</f>
        <v>0.4359903381642512</v>
      </c>
      <c r="K3">
        <f>N22</f>
        <v>0.96</v>
      </c>
    </row>
    <row r="4" spans="1:11" ht="12.75">
      <c r="A4" s="1"/>
      <c r="I4">
        <v>10</v>
      </c>
      <c r="J4">
        <f>G33</f>
        <v>0.7450693937180424</v>
      </c>
      <c r="K4">
        <f>N32</f>
        <v>1.3</v>
      </c>
    </row>
    <row r="5" spans="9:11" ht="12.75">
      <c r="I5">
        <v>15</v>
      </c>
      <c r="J5">
        <f>G42</f>
        <v>0.9680451127819549</v>
      </c>
      <c r="K5">
        <f>N41</f>
        <v>1.78</v>
      </c>
    </row>
    <row r="6" spans="1:11" ht="12.75">
      <c r="A6" t="s">
        <v>26</v>
      </c>
      <c r="I6">
        <v>20</v>
      </c>
      <c r="J6">
        <f>G54</f>
        <v>0.9602237414543194</v>
      </c>
      <c r="K6">
        <f>N53</f>
        <v>2.01</v>
      </c>
    </row>
    <row r="7" spans="1:11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I7">
        <v>30</v>
      </c>
      <c r="J7">
        <f>G67</f>
        <v>0.9773539928486293</v>
      </c>
      <c r="K7">
        <f>N66</f>
        <v>2.75</v>
      </c>
    </row>
    <row r="8" spans="1:11" ht="12.75">
      <c r="A8" s="2">
        <v>100</v>
      </c>
      <c r="I8">
        <v>40</v>
      </c>
      <c r="J8">
        <f>G82</f>
        <v>0.9841463414634146</v>
      </c>
      <c r="K8">
        <f>N81</f>
        <v>3.23</v>
      </c>
    </row>
    <row r="9" spans="9:11" ht="12.75">
      <c r="I9">
        <v>50</v>
      </c>
      <c r="J9">
        <f>G94</f>
        <v>0.9927667269439421</v>
      </c>
      <c r="K9">
        <f>N93</f>
        <v>3.51</v>
      </c>
    </row>
    <row r="10" spans="9:11" ht="12.75">
      <c r="I10">
        <v>60</v>
      </c>
      <c r="J10">
        <f>G108</f>
        <v>0.9914004914004914</v>
      </c>
      <c r="K10">
        <f>N107</f>
        <v>3.64</v>
      </c>
    </row>
    <row r="11" spans="9:11" ht="12.75">
      <c r="I11">
        <v>70</v>
      </c>
      <c r="J11">
        <f>G123</f>
        <v>0.9934971098265896</v>
      </c>
      <c r="K11">
        <f>N122</f>
        <v>3.62</v>
      </c>
    </row>
    <row r="12" spans="9:11" ht="12.75">
      <c r="I12">
        <v>90</v>
      </c>
      <c r="J12">
        <f>G136</f>
        <v>0.9817850637522769</v>
      </c>
      <c r="K12">
        <f>N135</f>
        <v>3.56</v>
      </c>
    </row>
    <row r="13" spans="1:11" ht="12.75">
      <c r="A13" t="s">
        <v>17</v>
      </c>
      <c r="I13">
        <v>110</v>
      </c>
      <c r="J13">
        <f>G150</f>
        <v>0.9821208384710234</v>
      </c>
      <c r="K13">
        <f>N149</f>
        <v>3.55</v>
      </c>
    </row>
    <row r="14" spans="1:7" ht="12.7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</row>
    <row r="15" spans="1:7" ht="12.75">
      <c r="A15">
        <v>85</v>
      </c>
      <c r="B15">
        <f>(A15-offset)/gain</f>
        <v>0.888196705956692</v>
      </c>
      <c r="G15">
        <f>(F15+E15)/(D15-14*2)</f>
        <v>0</v>
      </c>
    </row>
    <row r="16" spans="1:7" ht="12.75">
      <c r="A16">
        <v>100</v>
      </c>
      <c r="B16">
        <f>(A16-offset)/gain</f>
        <v>1.020305135522978</v>
      </c>
      <c r="C16">
        <v>337074</v>
      </c>
      <c r="D16">
        <v>1743</v>
      </c>
      <c r="F16">
        <v>583</v>
      </c>
      <c r="G16">
        <f>(F16+E16)/(D16-14*2)</f>
        <v>0.33994169096209914</v>
      </c>
    </row>
    <row r="17" spans="1:7" ht="12.75">
      <c r="A17">
        <v>120</v>
      </c>
      <c r="B17">
        <f>(A17-offset)/gain</f>
        <v>1.1964497082780257</v>
      </c>
      <c r="C17">
        <v>21913</v>
      </c>
      <c r="D17">
        <v>1693</v>
      </c>
      <c r="F17">
        <v>254</v>
      </c>
      <c r="G17">
        <f>(F17+E17)/(D17-14*2)</f>
        <v>0.15255255255255254</v>
      </c>
    </row>
    <row r="18" spans="1:7" ht="12.75">
      <c r="A18">
        <v>150</v>
      </c>
      <c r="B18">
        <f>(A18-offset)/gain</f>
        <v>1.4606665674105976</v>
      </c>
      <c r="C18">
        <v>11800</v>
      </c>
      <c r="D18">
        <v>1548</v>
      </c>
      <c r="F18">
        <v>135</v>
      </c>
      <c r="G18">
        <f>(F18+E18)/(D18-14*2)</f>
        <v>0.08881578947368421</v>
      </c>
    </row>
    <row r="21" ht="12.75">
      <c r="A21" t="s">
        <v>18</v>
      </c>
    </row>
    <row r="22" spans="1:15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N22">
        <v>0.96</v>
      </c>
      <c r="O22">
        <f>0.6439*N22^3-1.5588*N22^2+0.1216*N22+1.2507</f>
        <v>0.5005274303999999</v>
      </c>
    </row>
    <row r="23" spans="1:15" ht="12.75">
      <c r="A23">
        <v>85</v>
      </c>
      <c r="B23">
        <f>(A23-offset)/gain</f>
        <v>0.888196705956692</v>
      </c>
      <c r="C23">
        <v>118014</v>
      </c>
      <c r="D23">
        <v>1755</v>
      </c>
      <c r="F23">
        <v>1002</v>
      </c>
      <c r="G23">
        <f>(F23+E23)/(D23-14*2)</f>
        <v>0.5801968731905037</v>
      </c>
      <c r="N23">
        <f>N22+0.01</f>
        <v>0.97</v>
      </c>
      <c r="O23">
        <f>0.6439*N23^3-1.5588*N23^2+0.1216*N23+1.2507</f>
        <v>0.4896472246999999</v>
      </c>
    </row>
    <row r="24" spans="1:15" ht="12.75">
      <c r="A24">
        <v>100</v>
      </c>
      <c r="B24">
        <f>(A24-offset)/gain</f>
        <v>1.020305135522978</v>
      </c>
      <c r="C24">
        <v>32942</v>
      </c>
      <c r="D24">
        <v>1684</v>
      </c>
      <c r="F24">
        <v>722</v>
      </c>
      <c r="G24">
        <f>(F24+E24)/(D24-14*2)</f>
        <v>0.4359903381642512</v>
      </c>
      <c r="N24">
        <f>N23+0.01</f>
        <v>0.98</v>
      </c>
      <c r="O24">
        <f>0.6439*N24^3-1.5588*N24^2+0.1216*N24+1.2507</f>
        <v>0.47883000880000015</v>
      </c>
    </row>
    <row r="25" spans="1:15" ht="12.75">
      <c r="A25">
        <v>120</v>
      </c>
      <c r="B25">
        <f>(A25-offset)/gain</f>
        <v>1.1964497082780257</v>
      </c>
      <c r="C25">
        <v>24256</v>
      </c>
      <c r="D25">
        <v>1347</v>
      </c>
      <c r="F25">
        <v>353</v>
      </c>
      <c r="G25">
        <f>(F25+E25)/(D25-14*2)</f>
        <v>0.2676269901440485</v>
      </c>
      <c r="N25">
        <f>N24+0.01</f>
        <v>0.99</v>
      </c>
      <c r="O25">
        <f>0.6439*N25^3-1.5588*N25^2+0.1216*N25+1.2507</f>
        <v>0.46807964609999997</v>
      </c>
    </row>
    <row r="26" spans="1:7" ht="12.75">
      <c r="A26">
        <v>150</v>
      </c>
      <c r="B26">
        <f>(A26-offset)/gain</f>
        <v>1.4606665674105976</v>
      </c>
      <c r="C26">
        <v>15903</v>
      </c>
      <c r="D26">
        <v>1429</v>
      </c>
      <c r="F26">
        <v>153</v>
      </c>
      <c r="G26">
        <f>(F26+E26)/(D26-14*2)</f>
        <v>0.10920770877944326</v>
      </c>
    </row>
    <row r="29" ht="13.5" customHeight="1"/>
    <row r="31" ht="12.75">
      <c r="A31" t="s">
        <v>16</v>
      </c>
    </row>
    <row r="32" spans="1:15" ht="12.7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N32">
        <v>1.3</v>
      </c>
      <c r="O32">
        <f>1.5232*N32^3-5.902*N32^2+6.6239*N32-1.4871</f>
        <v>0.49606039999999907</v>
      </c>
    </row>
    <row r="33" spans="1:15" ht="12.75">
      <c r="A33">
        <v>100</v>
      </c>
      <c r="B33">
        <f>(A33-offset)/gain</f>
        <v>1.020305135522978</v>
      </c>
      <c r="C33">
        <v>45539</v>
      </c>
      <c r="D33">
        <v>1397</v>
      </c>
      <c r="F33">
        <v>1020</v>
      </c>
      <c r="G33">
        <f>(F33+E33)/(D33-14*2)</f>
        <v>0.7450693937180424</v>
      </c>
      <c r="N33">
        <f aca="true" t="shared" si="0" ref="N33:N38">N32+0.01</f>
        <v>1.31</v>
      </c>
      <c r="O33">
        <f aca="true" t="shared" si="1" ref="O33:O38">1.5232*N33^3-5.902*N33^2+6.6239*N33-1.4871</f>
        <v>0.48607901120000085</v>
      </c>
    </row>
    <row r="34" spans="1:15" ht="12.75">
      <c r="A34">
        <v>120</v>
      </c>
      <c r="B34">
        <f>(A34-offset)/gain</f>
        <v>1.1964497082780257</v>
      </c>
      <c r="C34">
        <v>37391</v>
      </c>
      <c r="D34">
        <v>1668</v>
      </c>
      <c r="F34">
        <v>981</v>
      </c>
      <c r="G34">
        <f>(F34+E34)/(D34-14*2)</f>
        <v>0.598170731707317</v>
      </c>
      <c r="N34">
        <f t="shared" si="0"/>
        <v>1.32</v>
      </c>
      <c r="O34">
        <f t="shared" si="1"/>
        <v>0.4761144575999994</v>
      </c>
    </row>
    <row r="35" spans="1:15" ht="12.75">
      <c r="A35">
        <v>150</v>
      </c>
      <c r="B35">
        <f>(A35-offset)/gain</f>
        <v>1.4606665674105976</v>
      </c>
      <c r="C35">
        <v>27447</v>
      </c>
      <c r="D35">
        <v>1606</v>
      </c>
      <c r="F35">
        <v>541</v>
      </c>
      <c r="G35">
        <f>(F35+E35)/(D35-14*2)</f>
        <v>0.3428390367553866</v>
      </c>
      <c r="N35">
        <f t="shared" si="0"/>
        <v>1.33</v>
      </c>
      <c r="O35">
        <f t="shared" si="1"/>
        <v>0.4661758783999994</v>
      </c>
    </row>
    <row r="36" spans="1:15" ht="12.75">
      <c r="A36">
        <v>180</v>
      </c>
      <c r="B36">
        <f>(A36-offset)/gain</f>
        <v>1.7248834265431694</v>
      </c>
      <c r="C36">
        <v>20209</v>
      </c>
      <c r="D36">
        <v>1712</v>
      </c>
      <c r="F36">
        <v>329</v>
      </c>
      <c r="G36">
        <f>(F36+E36)/(D36-14*2)</f>
        <v>0.19536817102137768</v>
      </c>
      <c r="N36">
        <f t="shared" si="0"/>
        <v>1.34</v>
      </c>
      <c r="O36">
        <f t="shared" si="1"/>
        <v>0.45627241279999864</v>
      </c>
    </row>
    <row r="37" spans="14:15" ht="12.75">
      <c r="N37">
        <f t="shared" si="0"/>
        <v>1.35</v>
      </c>
      <c r="O37">
        <f t="shared" si="1"/>
        <v>0.44641320000000007</v>
      </c>
    </row>
    <row r="38" spans="14:15" ht="12.75">
      <c r="N38">
        <f t="shared" si="0"/>
        <v>1.36</v>
      </c>
      <c r="O38">
        <f t="shared" si="1"/>
        <v>0.4366073791999987</v>
      </c>
    </row>
    <row r="40" ht="12.75">
      <c r="A40" t="s">
        <v>15</v>
      </c>
    </row>
    <row r="41" spans="1:15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N41">
        <v>1.78</v>
      </c>
      <c r="O41">
        <f>0.4779*N41^3-2.3993*N41^2+3.2283*N41-0.3367</f>
        <v>0.5029693607999994</v>
      </c>
    </row>
    <row r="42" spans="1:15" ht="12.75">
      <c r="A42">
        <v>100</v>
      </c>
      <c r="B42">
        <f aca="true" t="shared" si="2" ref="B42:B47">(A42-offset)/gain</f>
        <v>1.020305135522978</v>
      </c>
      <c r="C42">
        <v>61709</v>
      </c>
      <c r="D42">
        <v>560</v>
      </c>
      <c r="F42">
        <v>515</v>
      </c>
      <c r="G42">
        <f aca="true" t="shared" si="3" ref="G42:G47">(F42+E42)/(D42-14*2)</f>
        <v>0.9680451127819549</v>
      </c>
      <c r="N42">
        <f aca="true" t="shared" si="4" ref="N42:N47">N41+0.01</f>
        <v>1.79</v>
      </c>
      <c r="O42">
        <f aca="true" t="shared" si="5" ref="O42:O47">0.4779*N42^3-2.3993*N42^2+3.2283*N42-0.3367</f>
        <v>0.49527837809999964</v>
      </c>
    </row>
    <row r="43" spans="1:15" ht="12.75">
      <c r="A43">
        <v>150</v>
      </c>
      <c r="B43">
        <f t="shared" si="2"/>
        <v>1.4606665674105976</v>
      </c>
      <c r="C43">
        <v>46127</v>
      </c>
      <c r="D43">
        <v>923</v>
      </c>
      <c r="F43">
        <v>665</v>
      </c>
      <c r="G43">
        <f t="shared" si="3"/>
        <v>0.7430167597765364</v>
      </c>
      <c r="N43">
        <f t="shared" si="4"/>
        <v>1.8</v>
      </c>
      <c r="O43">
        <f t="shared" si="5"/>
        <v>0.48762080000000063</v>
      </c>
    </row>
    <row r="44" spans="1:15" ht="12.75">
      <c r="A44">
        <v>180</v>
      </c>
      <c r="B44">
        <f t="shared" si="2"/>
        <v>1.7248834265431694</v>
      </c>
      <c r="C44">
        <v>36790</v>
      </c>
      <c r="D44">
        <v>1409</v>
      </c>
      <c r="F44">
        <v>766</v>
      </c>
      <c r="G44">
        <f t="shared" si="3"/>
        <v>0.554670528602462</v>
      </c>
      <c r="N44">
        <f t="shared" si="4"/>
        <v>1.81</v>
      </c>
      <c r="O44">
        <f t="shared" si="5"/>
        <v>0.47999949389999985</v>
      </c>
    </row>
    <row r="45" spans="1:15" ht="12.75">
      <c r="A45">
        <v>210</v>
      </c>
      <c r="B45">
        <f t="shared" si="2"/>
        <v>1.9891002856757412</v>
      </c>
      <c r="C45">
        <v>29247</v>
      </c>
      <c r="D45">
        <v>1123</v>
      </c>
      <c r="F45">
        <v>384</v>
      </c>
      <c r="G45">
        <f t="shared" si="3"/>
        <v>0.3506849315068493</v>
      </c>
      <c r="N45">
        <f t="shared" si="4"/>
        <v>1.82</v>
      </c>
      <c r="O45">
        <f t="shared" si="5"/>
        <v>0.4724173271999992</v>
      </c>
    </row>
    <row r="46" spans="1:15" ht="12.75">
      <c r="A46">
        <v>240</v>
      </c>
      <c r="B46">
        <f t="shared" si="2"/>
        <v>2.253317144808313</v>
      </c>
      <c r="C46">
        <v>23137</v>
      </c>
      <c r="D46">
        <v>1301</v>
      </c>
      <c r="F46">
        <v>281</v>
      </c>
      <c r="G46">
        <f t="shared" si="3"/>
        <v>0.22073841319717202</v>
      </c>
      <c r="N46">
        <f t="shared" si="4"/>
        <v>1.83</v>
      </c>
      <c r="O46">
        <f t="shared" si="5"/>
        <v>0.46487716729999873</v>
      </c>
    </row>
    <row r="47" spans="1:15" ht="12.75">
      <c r="A47">
        <v>270</v>
      </c>
      <c r="B47">
        <f t="shared" si="2"/>
        <v>2.517534003940885</v>
      </c>
      <c r="C47">
        <v>19306</v>
      </c>
      <c r="D47">
        <v>1308</v>
      </c>
      <c r="F47">
        <v>270</v>
      </c>
      <c r="G47">
        <f t="shared" si="3"/>
        <v>0.2109375</v>
      </c>
      <c r="N47">
        <f t="shared" si="4"/>
        <v>1.84</v>
      </c>
      <c r="O47">
        <f t="shared" si="5"/>
        <v>0.4573818815999986</v>
      </c>
    </row>
    <row r="52" ht="12.75">
      <c r="A52" t="s">
        <v>9</v>
      </c>
    </row>
    <row r="53" spans="1:15" ht="12.7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N53">
        <v>2.01</v>
      </c>
      <c r="O53">
        <f aca="true" t="shared" si="6" ref="O53:O58">1.2874*N53^3-7.4805*N53^2+13.508*N53-6.8849</f>
        <v>0.4986736773999976</v>
      </c>
    </row>
    <row r="54" spans="1:15" ht="12.75">
      <c r="A54">
        <v>100</v>
      </c>
      <c r="B54">
        <f aca="true" t="shared" si="7" ref="B54:B59">(A54-offset)/gain</f>
        <v>1.020305135522978</v>
      </c>
      <c r="C54">
        <v>73974</v>
      </c>
      <c r="D54">
        <v>1637</v>
      </c>
      <c r="F54">
        <v>1545</v>
      </c>
      <c r="G54">
        <f aca="true" t="shared" si="8" ref="G54:G59">(F54+E54)/(D54-14*2)</f>
        <v>0.9602237414543194</v>
      </c>
      <c r="N54">
        <f>N53+0.01</f>
        <v>2.0199999999999996</v>
      </c>
      <c r="O54">
        <f t="shared" si="6"/>
        <v>0.4891038591999983</v>
      </c>
    </row>
    <row r="55" spans="1:15" ht="12.75">
      <c r="A55">
        <v>150</v>
      </c>
      <c r="B55">
        <f t="shared" si="7"/>
        <v>1.4606665674105976</v>
      </c>
      <c r="C55">
        <v>60704</v>
      </c>
      <c r="D55">
        <v>1616</v>
      </c>
      <c r="F55">
        <v>1416</v>
      </c>
      <c r="G55">
        <f t="shared" si="8"/>
        <v>0.8916876574307305</v>
      </c>
      <c r="N55">
        <f>N54+0.01</f>
        <v>2.0299999999999994</v>
      </c>
      <c r="O55">
        <f t="shared" si="6"/>
        <v>0.4795982698000021</v>
      </c>
    </row>
    <row r="56" spans="1:15" ht="12.75">
      <c r="A56">
        <v>180</v>
      </c>
      <c r="B56">
        <f t="shared" si="7"/>
        <v>1.7248834265431694</v>
      </c>
      <c r="C56">
        <v>50462</v>
      </c>
      <c r="D56">
        <v>1697</v>
      </c>
      <c r="F56">
        <v>1318</v>
      </c>
      <c r="G56">
        <f t="shared" si="8"/>
        <v>0.7896944278010785</v>
      </c>
      <c r="N56">
        <f>N55+0.01</f>
        <v>2.039999999999999</v>
      </c>
      <c r="O56">
        <f t="shared" si="6"/>
        <v>0.4701646335999978</v>
      </c>
    </row>
    <row r="57" spans="1:15" ht="12.75">
      <c r="A57">
        <v>210</v>
      </c>
      <c r="B57">
        <f t="shared" si="7"/>
        <v>1.9891002856757412</v>
      </c>
      <c r="C57">
        <v>34780</v>
      </c>
      <c r="D57">
        <v>1091</v>
      </c>
      <c r="F57">
        <v>513</v>
      </c>
      <c r="G57">
        <f t="shared" si="8"/>
        <v>0.4825964252116651</v>
      </c>
      <c r="N57">
        <f>N56+0.01</f>
        <v>2.049999999999999</v>
      </c>
      <c r="O57">
        <f t="shared" si="6"/>
        <v>0.46081067500000295</v>
      </c>
    </row>
    <row r="58" spans="1:15" ht="12.75">
      <c r="A58">
        <v>240</v>
      </c>
      <c r="B58">
        <f t="shared" si="7"/>
        <v>2.253317144808313</v>
      </c>
      <c r="C58">
        <v>28336</v>
      </c>
      <c r="D58">
        <v>1127</v>
      </c>
      <c r="F58">
        <v>357</v>
      </c>
      <c r="G58">
        <f t="shared" si="8"/>
        <v>0.3248407643312102</v>
      </c>
      <c r="N58">
        <f>N57+0.01</f>
        <v>2.0599999999999987</v>
      </c>
      <c r="O58">
        <f t="shared" si="6"/>
        <v>0.45154411840000286</v>
      </c>
    </row>
    <row r="59" spans="1:7" ht="12.75">
      <c r="A59">
        <v>270</v>
      </c>
      <c r="B59">
        <f t="shared" si="7"/>
        <v>2.517534003940885</v>
      </c>
      <c r="C59">
        <v>23939</v>
      </c>
      <c r="D59">
        <v>1174</v>
      </c>
      <c r="F59">
        <v>283</v>
      </c>
      <c r="G59">
        <f t="shared" si="8"/>
        <v>0.2469458987783595</v>
      </c>
    </row>
    <row r="65" ht="12.75">
      <c r="A65" t="s">
        <v>19</v>
      </c>
    </row>
    <row r="66" spans="1:15" ht="12.75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N66">
        <v>2.75</v>
      </c>
      <c r="O66">
        <f>0.137*N66^3-1.0665*N66^2+2.2746*N66-0.5383</f>
        <v>0.5006156249999987</v>
      </c>
    </row>
    <row r="67" spans="1:15" ht="12.75">
      <c r="A67">
        <v>100</v>
      </c>
      <c r="B67">
        <f aca="true" t="shared" si="9" ref="B67:B75">(A67-offset)/gain</f>
        <v>1.020305135522978</v>
      </c>
      <c r="C67">
        <v>87617</v>
      </c>
      <c r="D67">
        <v>1706</v>
      </c>
      <c r="F67">
        <v>1640</v>
      </c>
      <c r="G67">
        <f aca="true" t="shared" si="10" ref="G67:G75">(F67+E67)/(D67-14*2)</f>
        <v>0.9773539928486293</v>
      </c>
      <c r="N67">
        <f aca="true" t="shared" si="11" ref="N67:N72">N66+0.01</f>
        <v>2.76</v>
      </c>
      <c r="O67">
        <f aca="true" t="shared" si="12" ref="O67:O72">0.137*N67^3-1.0665*N67^2+2.2746*N67-0.5383</f>
        <v>0.49579251199999996</v>
      </c>
    </row>
    <row r="68" spans="1:15" ht="12.75">
      <c r="A68">
        <v>180</v>
      </c>
      <c r="B68">
        <f t="shared" si="9"/>
        <v>1.7248834265431694</v>
      </c>
      <c r="C68">
        <v>63821</v>
      </c>
      <c r="D68">
        <v>1733</v>
      </c>
      <c r="F68">
        <v>1551</v>
      </c>
      <c r="G68">
        <f t="shared" si="10"/>
        <v>0.9096774193548387</v>
      </c>
      <c r="N68">
        <f t="shared" si="11"/>
        <v>2.7699999999999996</v>
      </c>
      <c r="O68">
        <f t="shared" si="12"/>
        <v>0.49098297099999977</v>
      </c>
    </row>
    <row r="69" spans="1:15" ht="12.75">
      <c r="A69">
        <v>210</v>
      </c>
      <c r="B69">
        <f t="shared" si="9"/>
        <v>1.9891002856757412</v>
      </c>
      <c r="C69">
        <v>56301</v>
      </c>
      <c r="D69">
        <v>1667</v>
      </c>
      <c r="F69">
        <v>1398</v>
      </c>
      <c r="G69">
        <f t="shared" si="10"/>
        <v>0.8529591214154972</v>
      </c>
      <c r="N69">
        <f t="shared" si="11"/>
        <v>2.7799999999999994</v>
      </c>
      <c r="O69">
        <f t="shared" si="12"/>
        <v>0.4861878240000004</v>
      </c>
    </row>
    <row r="70" spans="1:15" ht="12.75">
      <c r="A70">
        <v>240</v>
      </c>
      <c r="B70">
        <f t="shared" si="9"/>
        <v>2.253317144808313</v>
      </c>
      <c r="C70">
        <v>49004</v>
      </c>
      <c r="D70">
        <v>1673</v>
      </c>
      <c r="F70">
        <v>1223</v>
      </c>
      <c r="G70">
        <f t="shared" si="10"/>
        <v>0.7434650455927052</v>
      </c>
      <c r="N70">
        <f t="shared" si="11"/>
        <v>2.789999999999999</v>
      </c>
      <c r="O70">
        <f t="shared" si="12"/>
        <v>0.4814078930000014</v>
      </c>
    </row>
    <row r="71" spans="1:15" ht="12.75">
      <c r="A71">
        <v>270</v>
      </c>
      <c r="B71">
        <f t="shared" si="9"/>
        <v>2.517534003940885</v>
      </c>
      <c r="C71">
        <v>42705</v>
      </c>
      <c r="D71">
        <v>1617</v>
      </c>
      <c r="F71">
        <v>977</v>
      </c>
      <c r="G71">
        <f t="shared" si="10"/>
        <v>0.6148521082441787</v>
      </c>
      <c r="N71">
        <f t="shared" si="11"/>
        <v>2.799999999999999</v>
      </c>
      <c r="O71">
        <f t="shared" si="12"/>
        <v>0.47664399999999985</v>
      </c>
    </row>
    <row r="72" spans="1:15" ht="12.75">
      <c r="A72">
        <v>300</v>
      </c>
      <c r="B72">
        <f t="shared" si="9"/>
        <v>2.7817508630734564</v>
      </c>
      <c r="C72">
        <v>36976</v>
      </c>
      <c r="D72">
        <v>1732</v>
      </c>
      <c r="F72">
        <v>804</v>
      </c>
      <c r="G72">
        <f t="shared" si="10"/>
        <v>0.47183098591549294</v>
      </c>
      <c r="N72">
        <f t="shared" si="11"/>
        <v>2.8099999999999987</v>
      </c>
      <c r="O72">
        <f t="shared" si="12"/>
        <v>0.4718969670000006</v>
      </c>
    </row>
    <row r="73" spans="1:7" ht="12.75">
      <c r="A73">
        <v>330</v>
      </c>
      <c r="B73">
        <f t="shared" si="9"/>
        <v>3.0459677222060284</v>
      </c>
      <c r="C73">
        <v>31906</v>
      </c>
      <c r="D73">
        <v>1647</v>
      </c>
      <c r="F73">
        <v>583</v>
      </c>
      <c r="G73">
        <f t="shared" si="10"/>
        <v>0.36009882643607166</v>
      </c>
    </row>
    <row r="74" spans="1:7" ht="12.75">
      <c r="A74">
        <v>360</v>
      </c>
      <c r="B74">
        <f t="shared" si="9"/>
        <v>3.3101845813386</v>
      </c>
      <c r="C74">
        <v>27531</v>
      </c>
      <c r="D74">
        <v>1669</v>
      </c>
      <c r="F74">
        <v>492</v>
      </c>
      <c r="G74">
        <f t="shared" si="10"/>
        <v>0.29981718464351004</v>
      </c>
    </row>
    <row r="75" spans="1:7" ht="12.75">
      <c r="A75">
        <v>390</v>
      </c>
      <c r="B75">
        <f t="shared" si="9"/>
        <v>3.574401440471172</v>
      </c>
      <c r="C75">
        <v>23957</v>
      </c>
      <c r="D75">
        <v>1686</v>
      </c>
      <c r="F75">
        <v>353</v>
      </c>
      <c r="G75">
        <f t="shared" si="10"/>
        <v>0.21290711700844392</v>
      </c>
    </row>
    <row r="80" ht="12.75">
      <c r="A80" t="s">
        <v>25</v>
      </c>
    </row>
    <row r="81" spans="1:15" ht="12.75">
      <c r="A81" t="s">
        <v>0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N81">
        <v>3.23</v>
      </c>
      <c r="O81">
        <f>0.1102*N81^3-1.0125*N81^2+2.693*N81-1.349</f>
        <v>0.49962777340000053</v>
      </c>
    </row>
    <row r="82" spans="1:15" ht="12.75">
      <c r="A82">
        <v>100</v>
      </c>
      <c r="B82">
        <f aca="true" t="shared" si="13" ref="B82:B88">(A82-offset)/gain</f>
        <v>1.020305135522978</v>
      </c>
      <c r="C82">
        <v>99528</v>
      </c>
      <c r="D82">
        <v>1668</v>
      </c>
      <c r="E82">
        <v>22</v>
      </c>
      <c r="F82">
        <v>1592</v>
      </c>
      <c r="G82">
        <f aca="true" t="shared" si="14" ref="G82:G88">(F82+E82)/(D82-14*2)</f>
        <v>0.9841463414634146</v>
      </c>
      <c r="N82">
        <f aca="true" t="shared" si="15" ref="N82:N87">N81+0.01</f>
        <v>3.2399999999999998</v>
      </c>
      <c r="O82">
        <f aca="true" t="shared" si="16" ref="O82:O87">0.1102*N82^3-1.0125*N82^2+2.693*N82-1.349</f>
        <v>0.49564708480000186</v>
      </c>
    </row>
    <row r="83" spans="1:15" ht="12.75">
      <c r="A83">
        <v>270</v>
      </c>
      <c r="B83">
        <f t="shared" si="13"/>
        <v>2.517534003940885</v>
      </c>
      <c r="C83">
        <v>52103</v>
      </c>
      <c r="D83">
        <v>1703</v>
      </c>
      <c r="F83">
        <v>1291</v>
      </c>
      <c r="G83">
        <f t="shared" si="14"/>
        <v>0.7707462686567165</v>
      </c>
      <c r="N83">
        <f t="shared" si="15"/>
        <v>3.2499999999999996</v>
      </c>
      <c r="O83">
        <f t="shared" si="16"/>
        <v>0.49167812500000196</v>
      </c>
    </row>
    <row r="84" spans="1:15" ht="12.75">
      <c r="A84">
        <v>300</v>
      </c>
      <c r="B84">
        <f t="shared" si="13"/>
        <v>2.7817508630734564</v>
      </c>
      <c r="C84">
        <v>46126</v>
      </c>
      <c r="D84">
        <v>1756</v>
      </c>
      <c r="F84">
        <v>1182</v>
      </c>
      <c r="G84">
        <f t="shared" si="14"/>
        <v>0.6840277777777778</v>
      </c>
      <c r="N84">
        <f t="shared" si="15"/>
        <v>3.2599999999999993</v>
      </c>
      <c r="O84">
        <f t="shared" si="16"/>
        <v>0.4877215552000005</v>
      </c>
    </row>
    <row r="85" spans="1:15" ht="12.75">
      <c r="A85">
        <v>330</v>
      </c>
      <c r="B85">
        <f t="shared" si="13"/>
        <v>3.0459677222060284</v>
      </c>
      <c r="C85">
        <v>40994</v>
      </c>
      <c r="D85">
        <v>1673</v>
      </c>
      <c r="F85">
        <v>934</v>
      </c>
      <c r="G85">
        <f t="shared" si="14"/>
        <v>0.5677811550151975</v>
      </c>
      <c r="N85">
        <f t="shared" si="15"/>
        <v>3.269999999999999</v>
      </c>
      <c r="O85">
        <f t="shared" si="16"/>
        <v>0.4837780366000024</v>
      </c>
    </row>
    <row r="86" spans="1:15" ht="12.75">
      <c r="A86">
        <v>360</v>
      </c>
      <c r="B86">
        <f t="shared" si="13"/>
        <v>3.3101845813386</v>
      </c>
      <c r="C86">
        <v>36382</v>
      </c>
      <c r="D86">
        <v>1675</v>
      </c>
      <c r="F86">
        <v>778</v>
      </c>
      <c r="G86">
        <f t="shared" si="14"/>
        <v>0.4723740133576199</v>
      </c>
      <c r="N86">
        <f t="shared" si="15"/>
        <v>3.279999999999999</v>
      </c>
      <c r="O86">
        <f t="shared" si="16"/>
        <v>0.47984823040000024</v>
      </c>
    </row>
    <row r="87" spans="1:15" ht="12.75">
      <c r="A87">
        <v>390</v>
      </c>
      <c r="B87">
        <f t="shared" si="13"/>
        <v>3.574401440471172</v>
      </c>
      <c r="C87">
        <v>31717</v>
      </c>
      <c r="D87">
        <v>1680</v>
      </c>
      <c r="F87">
        <v>616</v>
      </c>
      <c r="G87">
        <f t="shared" si="14"/>
        <v>0.3728813559322034</v>
      </c>
      <c r="N87">
        <f t="shared" si="15"/>
        <v>3.2899999999999987</v>
      </c>
      <c r="O87">
        <f t="shared" si="16"/>
        <v>0.4759327978000025</v>
      </c>
    </row>
    <row r="88" spans="1:7" ht="12.75">
      <c r="A88">
        <v>420</v>
      </c>
      <c r="B88">
        <f t="shared" si="13"/>
        <v>3.838618299603744</v>
      </c>
      <c r="C88">
        <v>27762</v>
      </c>
      <c r="D88">
        <v>1640</v>
      </c>
      <c r="F88">
        <v>488</v>
      </c>
      <c r="G88">
        <f t="shared" si="14"/>
        <v>0.3027295285359802</v>
      </c>
    </row>
    <row r="92" ht="12.75">
      <c r="A92" t="s">
        <v>20</v>
      </c>
    </row>
    <row r="93" spans="1:15" ht="12.75">
      <c r="A93" t="s">
        <v>0</v>
      </c>
      <c r="B93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N93">
        <v>3.51</v>
      </c>
      <c r="O93">
        <f>0.1115*N93^3-1.1211*N93^2+3.3558*N93-2.2897</f>
        <v>0.498749826500001</v>
      </c>
    </row>
    <row r="94" spans="1:15" ht="12.75">
      <c r="A94">
        <v>100</v>
      </c>
      <c r="B94">
        <f aca="true" t="shared" si="17" ref="B94:B102">(A94-offset)/gain</f>
        <v>1.020305135522978</v>
      </c>
      <c r="C94">
        <v>104829</v>
      </c>
      <c r="D94">
        <v>1687</v>
      </c>
      <c r="E94">
        <v>28</v>
      </c>
      <c r="F94">
        <v>1619</v>
      </c>
      <c r="G94">
        <f aca="true" t="shared" si="18" ref="G94:G102">(F94+E94)/(D94-14*2)</f>
        <v>0.9927667269439421</v>
      </c>
      <c r="N94">
        <f aca="true" t="shared" si="19" ref="N94:N100">N93+0.01</f>
        <v>3.5199999999999996</v>
      </c>
      <c r="O94">
        <f aca="true" t="shared" si="20" ref="O94:O100">0.1115*N94^3-1.1211*N94^2+3.3558*N94-2.2897</f>
        <v>0.49482275200000103</v>
      </c>
    </row>
    <row r="95" spans="1:15" ht="12.75">
      <c r="A95">
        <v>270</v>
      </c>
      <c r="B95">
        <f t="shared" si="17"/>
        <v>2.517534003940885</v>
      </c>
      <c r="C95">
        <v>57405</v>
      </c>
      <c r="D95">
        <v>1619</v>
      </c>
      <c r="F95">
        <v>1329</v>
      </c>
      <c r="G95">
        <f t="shared" si="18"/>
        <v>0.835323695788812</v>
      </c>
      <c r="N95">
        <f t="shared" si="19"/>
        <v>3.5299999999999994</v>
      </c>
      <c r="O95">
        <f t="shared" si="20"/>
        <v>0.4909069455000008</v>
      </c>
    </row>
    <row r="96" spans="1:15" ht="12.75">
      <c r="A96">
        <v>300</v>
      </c>
      <c r="B96">
        <f t="shared" si="17"/>
        <v>2.7817508630734564</v>
      </c>
      <c r="C96">
        <v>51770</v>
      </c>
      <c r="D96">
        <v>1674</v>
      </c>
      <c r="F96">
        <v>1253</v>
      </c>
      <c r="G96">
        <f t="shared" si="18"/>
        <v>0.7612393681652491</v>
      </c>
      <c r="N96">
        <f t="shared" si="19"/>
        <v>3.539999999999999</v>
      </c>
      <c r="O96">
        <f t="shared" si="20"/>
        <v>0.4870030760000006</v>
      </c>
    </row>
    <row r="97" spans="1:15" ht="12.75">
      <c r="A97">
        <v>330</v>
      </c>
      <c r="B97">
        <f t="shared" si="17"/>
        <v>3.0459677222060284</v>
      </c>
      <c r="C97">
        <v>46628</v>
      </c>
      <c r="D97">
        <v>1683</v>
      </c>
      <c r="F97">
        <v>1145</v>
      </c>
      <c r="G97">
        <f t="shared" si="18"/>
        <v>0.6918429003021148</v>
      </c>
      <c r="N97">
        <f t="shared" si="19"/>
        <v>3.549999999999999</v>
      </c>
      <c r="O97">
        <f t="shared" si="20"/>
        <v>0.4831118125000007</v>
      </c>
    </row>
    <row r="98" spans="1:15" ht="12.75">
      <c r="A98">
        <v>360</v>
      </c>
      <c r="B98">
        <f t="shared" si="17"/>
        <v>3.3101845813386</v>
      </c>
      <c r="C98">
        <v>41684</v>
      </c>
      <c r="D98">
        <v>1696</v>
      </c>
      <c r="F98">
        <v>957</v>
      </c>
      <c r="G98">
        <f t="shared" si="18"/>
        <v>0.5737410071942446</v>
      </c>
      <c r="N98">
        <f t="shared" si="19"/>
        <v>3.5599999999999987</v>
      </c>
      <c r="O98">
        <f t="shared" si="20"/>
        <v>0.47923382400000136</v>
      </c>
    </row>
    <row r="99" spans="1:15" ht="12.75">
      <c r="A99">
        <v>390</v>
      </c>
      <c r="B99">
        <f t="shared" si="17"/>
        <v>3.574401440471172</v>
      </c>
      <c r="C99">
        <v>36725</v>
      </c>
      <c r="D99">
        <v>1697</v>
      </c>
      <c r="F99">
        <v>800</v>
      </c>
      <c r="G99">
        <f t="shared" si="18"/>
        <v>0.4793289394847214</v>
      </c>
      <c r="N99">
        <f t="shared" si="19"/>
        <v>3.5699999999999985</v>
      </c>
      <c r="O99">
        <f t="shared" si="20"/>
        <v>0.47536977950000114</v>
      </c>
    </row>
    <row r="100" spans="1:15" ht="12.75">
      <c r="A100">
        <v>420</v>
      </c>
      <c r="B100">
        <f t="shared" si="17"/>
        <v>3.838618299603744</v>
      </c>
      <c r="C100">
        <v>32396</v>
      </c>
      <c r="D100">
        <v>1704</v>
      </c>
      <c r="F100">
        <v>628</v>
      </c>
      <c r="G100">
        <f t="shared" si="18"/>
        <v>0.3747016706443914</v>
      </c>
      <c r="N100">
        <f t="shared" si="19"/>
        <v>3.5799999999999983</v>
      </c>
      <c r="O100">
        <f t="shared" si="20"/>
        <v>0.4715203480000021</v>
      </c>
    </row>
    <row r="101" spans="1:7" ht="12.75">
      <c r="A101">
        <v>450</v>
      </c>
      <c r="B101">
        <f t="shared" si="17"/>
        <v>4.102835158736315</v>
      </c>
      <c r="C101">
        <v>28049</v>
      </c>
      <c r="D101">
        <v>1607</v>
      </c>
      <c r="F101">
        <v>490</v>
      </c>
      <c r="G101">
        <f t="shared" si="18"/>
        <v>0.3103229892336922</v>
      </c>
    </row>
    <row r="102" spans="1:7" ht="12.75">
      <c r="A102">
        <v>480</v>
      </c>
      <c r="B102">
        <f t="shared" si="17"/>
        <v>4.367052017868887</v>
      </c>
      <c r="C102">
        <v>24613</v>
      </c>
      <c r="D102">
        <v>1709</v>
      </c>
      <c r="F102">
        <v>389</v>
      </c>
      <c r="G102">
        <f t="shared" si="18"/>
        <v>0.2314098750743605</v>
      </c>
    </row>
    <row r="106" ht="12.75">
      <c r="A106" t="s">
        <v>24</v>
      </c>
    </row>
    <row r="107" spans="1:15" ht="12.75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N107">
        <v>3.64</v>
      </c>
      <c r="O107">
        <f>0.075*N107^3-0.7792*N107^2+2.3151*N107-1.2206</f>
        <v>0.49941648000000094</v>
      </c>
    </row>
    <row r="108" spans="1:15" ht="12.75">
      <c r="A108">
        <v>100</v>
      </c>
      <c r="B108">
        <f aca="true" t="shared" si="21" ref="B108:B115">(A108-offset)/gain</f>
        <v>1.020305135522978</v>
      </c>
      <c r="C108">
        <v>107481</v>
      </c>
      <c r="D108">
        <v>1656</v>
      </c>
      <c r="E108">
        <v>15</v>
      </c>
      <c r="F108">
        <v>1599</v>
      </c>
      <c r="G108">
        <f aca="true" t="shared" si="22" ref="G108:G115">(F108+E108)/(D108-14*2)</f>
        <v>0.9914004914004914</v>
      </c>
      <c r="N108">
        <f aca="true" t="shared" si="23" ref="N108:N115">N107+0.01</f>
        <v>3.65</v>
      </c>
      <c r="O108">
        <f aca="true" t="shared" si="24" ref="O108:O115">0.075*N108^3-0.7792*N108^2+2.3151*N108-1.2206</f>
        <v>0.4956573750000006</v>
      </c>
    </row>
    <row r="109" spans="1:15" ht="12.75">
      <c r="A109">
        <v>300</v>
      </c>
      <c r="B109">
        <f t="shared" si="21"/>
        <v>2.7817508630734564</v>
      </c>
      <c r="C109">
        <v>54244</v>
      </c>
      <c r="D109">
        <v>1278</v>
      </c>
      <c r="F109">
        <v>1006</v>
      </c>
      <c r="G109">
        <f t="shared" si="22"/>
        <v>0.8048</v>
      </c>
      <c r="N109">
        <f t="shared" si="23"/>
        <v>3.6599999999999997</v>
      </c>
      <c r="O109">
        <f t="shared" si="24"/>
        <v>0.4919066800000007</v>
      </c>
    </row>
    <row r="110" spans="1:15" ht="12.75">
      <c r="A110">
        <v>330</v>
      </c>
      <c r="B110">
        <f t="shared" si="21"/>
        <v>3.0459677222060284</v>
      </c>
      <c r="C110">
        <v>48276</v>
      </c>
      <c r="D110">
        <v>1209</v>
      </c>
      <c r="F110">
        <v>847</v>
      </c>
      <c r="G110">
        <f t="shared" si="22"/>
        <v>0.7171888230313294</v>
      </c>
      <c r="N110">
        <f t="shared" si="23"/>
        <v>3.6699999999999995</v>
      </c>
      <c r="O110">
        <f t="shared" si="24"/>
        <v>0.4881648450000011</v>
      </c>
    </row>
    <row r="111" spans="1:15" ht="12.75">
      <c r="A111">
        <v>360</v>
      </c>
      <c r="B111">
        <f t="shared" si="21"/>
        <v>3.3101845813386</v>
      </c>
      <c r="C111">
        <v>43137</v>
      </c>
      <c r="D111">
        <v>1371</v>
      </c>
      <c r="F111">
        <v>842</v>
      </c>
      <c r="G111">
        <f t="shared" si="22"/>
        <v>0.6269545793000745</v>
      </c>
      <c r="N111">
        <f t="shared" si="23"/>
        <v>3.6799999999999993</v>
      </c>
      <c r="O111">
        <f t="shared" si="24"/>
        <v>0.4844323200000009</v>
      </c>
    </row>
    <row r="112" spans="1:15" ht="12.75">
      <c r="A112">
        <v>390</v>
      </c>
      <c r="B112">
        <f t="shared" si="21"/>
        <v>3.574401440471172</v>
      </c>
      <c r="C112">
        <v>39104</v>
      </c>
      <c r="D112">
        <v>1465</v>
      </c>
      <c r="F112">
        <v>760</v>
      </c>
      <c r="G112">
        <f t="shared" si="22"/>
        <v>0.5288796102992345</v>
      </c>
      <c r="N112">
        <f t="shared" si="23"/>
        <v>3.689999999999999</v>
      </c>
      <c r="O112">
        <f t="shared" si="24"/>
        <v>0.4807095550000018</v>
      </c>
    </row>
    <row r="113" spans="1:15" ht="12.75">
      <c r="A113">
        <v>420</v>
      </c>
      <c r="B113">
        <f t="shared" si="21"/>
        <v>3.838618299603744</v>
      </c>
      <c r="C113">
        <v>34289</v>
      </c>
      <c r="D113">
        <v>1467</v>
      </c>
      <c r="F113">
        <v>595</v>
      </c>
      <c r="G113">
        <f t="shared" si="22"/>
        <v>0.4134815844336345</v>
      </c>
      <c r="N113">
        <f t="shared" si="23"/>
        <v>3.699999999999999</v>
      </c>
      <c r="O113">
        <f t="shared" si="24"/>
        <v>0.476997000000001</v>
      </c>
    </row>
    <row r="114" spans="1:15" ht="12.75">
      <c r="A114">
        <v>450</v>
      </c>
      <c r="B114">
        <f t="shared" si="21"/>
        <v>4.102835158736315</v>
      </c>
      <c r="C114">
        <v>30285</v>
      </c>
      <c r="D114">
        <v>1593</v>
      </c>
      <c r="F114">
        <v>544</v>
      </c>
      <c r="G114">
        <f t="shared" si="22"/>
        <v>0.34760383386581467</v>
      </c>
      <c r="N114">
        <f t="shared" si="23"/>
        <v>3.7099999999999986</v>
      </c>
      <c r="O114">
        <f t="shared" si="24"/>
        <v>0.4732951049999994</v>
      </c>
    </row>
    <row r="115" spans="1:15" ht="12.75">
      <c r="A115">
        <v>480</v>
      </c>
      <c r="B115">
        <f t="shared" si="21"/>
        <v>4.367052017868887</v>
      </c>
      <c r="C115">
        <v>26509</v>
      </c>
      <c r="D115">
        <v>1759</v>
      </c>
      <c r="F115">
        <v>470</v>
      </c>
      <c r="G115">
        <f t="shared" si="22"/>
        <v>0.2715193529751589</v>
      </c>
      <c r="N115">
        <f t="shared" si="23"/>
        <v>3.7199999999999984</v>
      </c>
      <c r="O115">
        <f t="shared" si="24"/>
        <v>0.4696043200000013</v>
      </c>
    </row>
    <row r="121" ht="12.75">
      <c r="A121" t="s">
        <v>21</v>
      </c>
    </row>
    <row r="122" spans="1:15" ht="12.75">
      <c r="A122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N122">
        <v>3.62</v>
      </c>
      <c r="O122">
        <f>0.1135*N122^3-1.2136*N122^2+3.9373*N122-3.232</f>
        <v>0.5017309879999994</v>
      </c>
    </row>
    <row r="123" spans="1:15" ht="12.75">
      <c r="A123">
        <v>100</v>
      </c>
      <c r="B123">
        <f aca="true" t="shared" si="25" ref="B123:B130">(A123-offset)/gain</f>
        <v>1.020305135522978</v>
      </c>
      <c r="C123">
        <v>108743</v>
      </c>
      <c r="D123">
        <v>1412</v>
      </c>
      <c r="E123">
        <v>5</v>
      </c>
      <c r="F123">
        <v>1370</v>
      </c>
      <c r="G123">
        <f aca="true" t="shared" si="26" ref="G123:G130">(F123+E123)/(D123-14*2)</f>
        <v>0.9934971098265896</v>
      </c>
      <c r="N123">
        <f aca="true" t="shared" si="27" ref="N123:N130">N122+0.01</f>
        <v>3.63</v>
      </c>
      <c r="O123">
        <f aca="true" t="shared" si="28" ref="O123:O130">0.1135*N123^3-1.2136*N123^2+3.9373*N123-3.232</f>
        <v>0.49786184450000004</v>
      </c>
    </row>
    <row r="124" spans="1:15" ht="12.75">
      <c r="A124">
        <v>300</v>
      </c>
      <c r="B124">
        <f t="shared" si="25"/>
        <v>2.7817508630734564</v>
      </c>
      <c r="C124">
        <v>54672</v>
      </c>
      <c r="D124">
        <v>1745</v>
      </c>
      <c r="F124">
        <v>1321</v>
      </c>
      <c r="G124">
        <f t="shared" si="26"/>
        <v>0.7693651718112988</v>
      </c>
      <c r="N124">
        <f t="shared" si="27"/>
        <v>3.6399999999999997</v>
      </c>
      <c r="O124">
        <f t="shared" si="28"/>
        <v>0.49399718400000214</v>
      </c>
    </row>
    <row r="125" spans="1:15" ht="12.75">
      <c r="A125">
        <v>330</v>
      </c>
      <c r="B125">
        <f t="shared" si="25"/>
        <v>3.0459677222060284</v>
      </c>
      <c r="C125">
        <v>49128</v>
      </c>
      <c r="D125">
        <v>1623</v>
      </c>
      <c r="F125">
        <v>1130</v>
      </c>
      <c r="G125">
        <f t="shared" si="26"/>
        <v>0.7084639498432602</v>
      </c>
      <c r="N125">
        <f t="shared" si="27"/>
        <v>3.6499999999999995</v>
      </c>
      <c r="O125">
        <f t="shared" si="28"/>
        <v>0.49013768750000164</v>
      </c>
    </row>
    <row r="126" spans="1:15" ht="12.75">
      <c r="A126">
        <v>360</v>
      </c>
      <c r="B126">
        <f t="shared" si="25"/>
        <v>3.3101845813386</v>
      </c>
      <c r="C126">
        <v>43653</v>
      </c>
      <c r="D126">
        <v>1650</v>
      </c>
      <c r="F126">
        <v>1035</v>
      </c>
      <c r="G126">
        <f t="shared" si="26"/>
        <v>0.6381011097410604</v>
      </c>
      <c r="N126">
        <f t="shared" si="27"/>
        <v>3.6599999999999993</v>
      </c>
      <c r="O126">
        <f t="shared" si="28"/>
        <v>0.4862840360000016</v>
      </c>
    </row>
    <row r="127" spans="1:15" ht="12.75">
      <c r="A127">
        <v>390</v>
      </c>
      <c r="B127">
        <f t="shared" si="25"/>
        <v>3.574401440471172</v>
      </c>
      <c r="C127">
        <v>38916</v>
      </c>
      <c r="D127">
        <v>1655</v>
      </c>
      <c r="F127">
        <v>809</v>
      </c>
      <c r="G127">
        <f t="shared" si="26"/>
        <v>0.4972341733251383</v>
      </c>
      <c r="N127">
        <f t="shared" si="27"/>
        <v>3.669999999999999</v>
      </c>
      <c r="O127">
        <f t="shared" si="28"/>
        <v>0.4824369104999997</v>
      </c>
    </row>
    <row r="128" spans="1:15" ht="12.75">
      <c r="A128">
        <v>420</v>
      </c>
      <c r="B128">
        <f t="shared" si="25"/>
        <v>3.838618299603744</v>
      </c>
      <c r="C128">
        <v>34296</v>
      </c>
      <c r="D128">
        <v>1684</v>
      </c>
      <c r="F128">
        <v>677</v>
      </c>
      <c r="G128">
        <f t="shared" si="26"/>
        <v>0.40881642512077293</v>
      </c>
      <c r="N128">
        <f t="shared" si="27"/>
        <v>3.679999999999999</v>
      </c>
      <c r="O128">
        <f t="shared" si="28"/>
        <v>0.47859699200000083</v>
      </c>
    </row>
    <row r="129" spans="1:15" ht="12.75">
      <c r="A129">
        <v>450</v>
      </c>
      <c r="B129">
        <f t="shared" si="25"/>
        <v>4.102835158736315</v>
      </c>
      <c r="C129">
        <v>30040</v>
      </c>
      <c r="D129">
        <v>1612</v>
      </c>
      <c r="F129">
        <v>560</v>
      </c>
      <c r="G129">
        <f t="shared" si="26"/>
        <v>0.35353535353535354</v>
      </c>
      <c r="N129">
        <f t="shared" si="27"/>
        <v>3.6899999999999986</v>
      </c>
      <c r="O129">
        <f t="shared" si="28"/>
        <v>0.4747649615000009</v>
      </c>
    </row>
    <row r="130" spans="1:15" ht="12.75">
      <c r="A130">
        <v>480</v>
      </c>
      <c r="B130">
        <f t="shared" si="25"/>
        <v>4.367052017868887</v>
      </c>
      <c r="C130">
        <v>26654</v>
      </c>
      <c r="D130">
        <v>1740</v>
      </c>
      <c r="F130">
        <v>446</v>
      </c>
      <c r="G130">
        <f t="shared" si="26"/>
        <v>0.2605140186915888</v>
      </c>
      <c r="N130">
        <f t="shared" si="27"/>
        <v>3.6999999999999984</v>
      </c>
      <c r="O130">
        <f t="shared" si="28"/>
        <v>0.47094149999999946</v>
      </c>
    </row>
    <row r="134" ht="12.75">
      <c r="A134" t="s">
        <v>22</v>
      </c>
    </row>
    <row r="135" spans="1:15" ht="12.75">
      <c r="A135" t="s">
        <v>0</v>
      </c>
      <c r="B135" t="s">
        <v>1</v>
      </c>
      <c r="C135" t="s">
        <v>2</v>
      </c>
      <c r="D135" t="s">
        <v>3</v>
      </c>
      <c r="E135" t="s">
        <v>4</v>
      </c>
      <c r="F135" t="s">
        <v>5</v>
      </c>
      <c r="G135" t="s">
        <v>6</v>
      </c>
      <c r="N135">
        <v>3.56</v>
      </c>
      <c r="O135">
        <f>0.0713*N135^3-0.7551*N135^2+2.3214*N135-1.4111</f>
        <v>0.5001631807999998</v>
      </c>
    </row>
    <row r="136" spans="1:15" ht="12.75">
      <c r="A136">
        <v>100</v>
      </c>
      <c r="B136">
        <f aca="true" t="shared" si="29" ref="B136:B142">(A136-offset)/gain</f>
        <v>1.020305135522978</v>
      </c>
      <c r="C136">
        <v>115165</v>
      </c>
      <c r="D136">
        <v>1675</v>
      </c>
      <c r="E136">
        <v>12</v>
      </c>
      <c r="F136">
        <v>1605</v>
      </c>
      <c r="G136">
        <f aca="true" t="shared" si="30" ref="G136:G142">(F136+E136)/(D136-14*2)</f>
        <v>0.9817850637522769</v>
      </c>
      <c r="N136">
        <f aca="true" t="shared" si="31" ref="N136:N143">N135+0.01</f>
        <v>3.57</v>
      </c>
      <c r="O136">
        <f aca="true" t="shared" si="32" ref="O136:O143">0.0713*N136^3-0.7551*N136^2+2.3214*N136-1.4111</f>
        <v>0.4967236008999987</v>
      </c>
    </row>
    <row r="137" spans="1:15" ht="12.75">
      <c r="A137">
        <v>330</v>
      </c>
      <c r="B137">
        <f t="shared" si="29"/>
        <v>3.0459677222060284</v>
      </c>
      <c r="C137">
        <v>48353</v>
      </c>
      <c r="D137">
        <v>1689</v>
      </c>
      <c r="F137">
        <v>1118</v>
      </c>
      <c r="G137">
        <f t="shared" si="30"/>
        <v>0.6730885009030705</v>
      </c>
      <c r="N137">
        <f t="shared" si="31"/>
        <v>3.5799999999999996</v>
      </c>
      <c r="O137">
        <f t="shared" si="32"/>
        <v>0.49328572559999917</v>
      </c>
    </row>
    <row r="138" spans="1:15" ht="12.75">
      <c r="A138">
        <v>360</v>
      </c>
      <c r="B138">
        <f t="shared" si="29"/>
        <v>3.3101845813386</v>
      </c>
      <c r="C138">
        <v>42772</v>
      </c>
      <c r="D138">
        <v>1746</v>
      </c>
      <c r="F138">
        <v>981</v>
      </c>
      <c r="G138">
        <f t="shared" si="30"/>
        <v>0.5710128055878929</v>
      </c>
      <c r="N138">
        <f t="shared" si="31"/>
        <v>3.5899999999999994</v>
      </c>
      <c r="O138">
        <f t="shared" si="32"/>
        <v>0.48984998269999935</v>
      </c>
    </row>
    <row r="139" spans="1:15" ht="12.75">
      <c r="A139">
        <v>390</v>
      </c>
      <c r="B139">
        <f t="shared" si="29"/>
        <v>3.574401440471172</v>
      </c>
      <c r="C139">
        <v>38077</v>
      </c>
      <c r="D139">
        <v>1723</v>
      </c>
      <c r="F139">
        <v>864</v>
      </c>
      <c r="G139">
        <f t="shared" si="30"/>
        <v>0.5097345132743363</v>
      </c>
      <c r="N139">
        <f t="shared" si="31"/>
        <v>3.599999999999999</v>
      </c>
      <c r="O139">
        <f t="shared" si="32"/>
        <v>0.4864168</v>
      </c>
    </row>
    <row r="140" spans="1:15" ht="12.75">
      <c r="A140">
        <v>420</v>
      </c>
      <c r="B140">
        <f t="shared" si="29"/>
        <v>3.838618299603744</v>
      </c>
      <c r="C140">
        <v>33977</v>
      </c>
      <c r="D140">
        <v>1574</v>
      </c>
      <c r="F140">
        <v>627</v>
      </c>
      <c r="G140">
        <f t="shared" si="30"/>
        <v>0.4055627425614489</v>
      </c>
      <c r="N140">
        <f t="shared" si="31"/>
        <v>3.609999999999999</v>
      </c>
      <c r="O140">
        <f t="shared" si="32"/>
        <v>0.4829866053000009</v>
      </c>
    </row>
    <row r="141" spans="1:15" ht="12.75">
      <c r="A141">
        <v>450</v>
      </c>
      <c r="B141">
        <f t="shared" si="29"/>
        <v>4.102835158736315</v>
      </c>
      <c r="C141">
        <v>30122</v>
      </c>
      <c r="D141">
        <v>1671</v>
      </c>
      <c r="F141">
        <v>526</v>
      </c>
      <c r="G141">
        <f t="shared" si="30"/>
        <v>0.32014607425441266</v>
      </c>
      <c r="N141">
        <f t="shared" si="31"/>
        <v>3.6199999999999988</v>
      </c>
      <c r="O141">
        <f t="shared" si="32"/>
        <v>0.4795598264000003</v>
      </c>
    </row>
    <row r="142" spans="1:15" ht="12.75">
      <c r="A142">
        <v>480</v>
      </c>
      <c r="B142">
        <f t="shared" si="29"/>
        <v>4.367052017868887</v>
      </c>
      <c r="C142">
        <v>26255</v>
      </c>
      <c r="D142">
        <v>1680</v>
      </c>
      <c r="F142">
        <v>441</v>
      </c>
      <c r="G142">
        <f t="shared" si="30"/>
        <v>0.2669491525423729</v>
      </c>
      <c r="N142">
        <f t="shared" si="31"/>
        <v>3.6299999999999986</v>
      </c>
      <c r="O142">
        <f t="shared" si="32"/>
        <v>0.47613689110000235</v>
      </c>
    </row>
    <row r="143" spans="14:15" ht="12.75">
      <c r="N143">
        <f t="shared" si="31"/>
        <v>3.6399999999999983</v>
      </c>
      <c r="O143">
        <f t="shared" si="32"/>
        <v>0.4727182272000008</v>
      </c>
    </row>
    <row r="148" ht="12.75">
      <c r="A148" t="s">
        <v>23</v>
      </c>
    </row>
    <row r="149" spans="1:15" ht="12.75">
      <c r="A149" t="s">
        <v>0</v>
      </c>
      <c r="B149" t="s">
        <v>1</v>
      </c>
      <c r="C149" t="s">
        <v>2</v>
      </c>
      <c r="D149" t="s">
        <v>3</v>
      </c>
      <c r="E149" t="s">
        <v>4</v>
      </c>
      <c r="F149" t="s">
        <v>5</v>
      </c>
      <c r="G149" t="s">
        <v>6</v>
      </c>
      <c r="N149">
        <v>3.55</v>
      </c>
      <c r="O149">
        <f>0.2318*N149^3-2.5579*N149^2+9.0028*N149-9.5929</f>
        <v>0.5015764750000002</v>
      </c>
    </row>
    <row r="150" spans="1:15" ht="12.75">
      <c r="A150">
        <v>100</v>
      </c>
      <c r="B150">
        <f aca="true" t="shared" si="33" ref="B150:B156">(A150-offset)/gain</f>
        <v>1.020305135522978</v>
      </c>
      <c r="C150">
        <v>109209</v>
      </c>
      <c r="D150">
        <v>1650</v>
      </c>
      <c r="E150">
        <v>27</v>
      </c>
      <c r="F150">
        <v>1566</v>
      </c>
      <c r="G150">
        <f aca="true" t="shared" si="34" ref="G150:G156">(F150+E150)/(D150-14*2)</f>
        <v>0.9821208384710234</v>
      </c>
      <c r="N150">
        <f aca="true" t="shared" si="35" ref="N150:N157">N149+0.01</f>
        <v>3.5599999999999996</v>
      </c>
      <c r="O150">
        <f aca="true" t="shared" si="36" ref="O150:O157">0.2318*N150^3-2.5579*N150^2+9.0028*N150-9.5929</f>
        <v>0.4976226688000054</v>
      </c>
    </row>
    <row r="151" spans="1:15" ht="12.75">
      <c r="A151">
        <v>330</v>
      </c>
      <c r="B151">
        <f t="shared" si="33"/>
        <v>3.0459677222060284</v>
      </c>
      <c r="C151">
        <v>47378</v>
      </c>
      <c r="D151">
        <v>1630</v>
      </c>
      <c r="F151">
        <v>1037</v>
      </c>
      <c r="G151">
        <f t="shared" si="34"/>
        <v>0.6473158551810237</v>
      </c>
      <c r="N151">
        <f t="shared" si="35"/>
        <v>3.5699999999999994</v>
      </c>
      <c r="O151">
        <f t="shared" si="36"/>
        <v>0.49365240739999905</v>
      </c>
    </row>
    <row r="152" spans="1:15" ht="12.75">
      <c r="A152">
        <v>360</v>
      </c>
      <c r="B152">
        <f t="shared" si="33"/>
        <v>3.3101845813386</v>
      </c>
      <c r="C152">
        <v>42296</v>
      </c>
      <c r="D152">
        <v>1581</v>
      </c>
      <c r="F152">
        <v>918</v>
      </c>
      <c r="G152">
        <f t="shared" si="34"/>
        <v>0.5911139729555699</v>
      </c>
      <c r="N152">
        <f t="shared" si="35"/>
        <v>3.579999999999999</v>
      </c>
      <c r="O152">
        <f t="shared" si="36"/>
        <v>0.48966708159999683</v>
      </c>
    </row>
    <row r="153" spans="1:15" ht="12.75">
      <c r="A153">
        <v>390</v>
      </c>
      <c r="B153">
        <f t="shared" si="33"/>
        <v>3.574401440471172</v>
      </c>
      <c r="C153">
        <v>38034</v>
      </c>
      <c r="D153">
        <v>1699</v>
      </c>
      <c r="F153">
        <v>829</v>
      </c>
      <c r="G153">
        <f t="shared" si="34"/>
        <v>0.49611011370436864</v>
      </c>
      <c r="N153">
        <f t="shared" si="35"/>
        <v>3.589999999999999</v>
      </c>
      <c r="O153">
        <f t="shared" si="36"/>
        <v>0.4856680821999966</v>
      </c>
    </row>
    <row r="154" spans="1:15" ht="12.75">
      <c r="A154">
        <v>420</v>
      </c>
      <c r="B154">
        <f t="shared" si="33"/>
        <v>3.838618299603744</v>
      </c>
      <c r="C154">
        <v>33302</v>
      </c>
      <c r="D154">
        <v>1710</v>
      </c>
      <c r="F154">
        <v>631</v>
      </c>
      <c r="G154">
        <f t="shared" si="34"/>
        <v>0.3751486325802616</v>
      </c>
      <c r="N154">
        <f t="shared" si="35"/>
        <v>3.5999999999999988</v>
      </c>
      <c r="O154">
        <f t="shared" si="36"/>
        <v>0.4816568000000103</v>
      </c>
    </row>
    <row r="155" spans="1:15" ht="12.75">
      <c r="A155">
        <v>450</v>
      </c>
      <c r="B155">
        <f t="shared" si="33"/>
        <v>4.102835158736315</v>
      </c>
      <c r="C155">
        <v>29009</v>
      </c>
      <c r="D155">
        <v>1704</v>
      </c>
      <c r="F155">
        <v>514</v>
      </c>
      <c r="G155">
        <f t="shared" si="34"/>
        <v>0.30668257756563244</v>
      </c>
      <c r="N155">
        <f t="shared" si="35"/>
        <v>3.6099999999999985</v>
      </c>
      <c r="O155">
        <f t="shared" si="36"/>
        <v>0.47763462580000393</v>
      </c>
    </row>
    <row r="156" spans="1:15" ht="12.75">
      <c r="A156">
        <v>480</v>
      </c>
      <c r="B156">
        <f t="shared" si="33"/>
        <v>4.367052017868887</v>
      </c>
      <c r="C156">
        <v>26168</v>
      </c>
      <c r="D156">
        <v>1679</v>
      </c>
      <c r="F156">
        <v>404</v>
      </c>
      <c r="G156">
        <f t="shared" si="34"/>
        <v>0.24470018170805571</v>
      </c>
      <c r="N156">
        <f t="shared" si="35"/>
        <v>3.6199999999999983</v>
      </c>
      <c r="O156">
        <f t="shared" si="36"/>
        <v>0.4736029504000072</v>
      </c>
    </row>
    <row r="157" spans="14:15" ht="12.75">
      <c r="N157">
        <f t="shared" si="35"/>
        <v>3.629999999999998</v>
      </c>
      <c r="O157">
        <f t="shared" si="36"/>
        <v>0.4695631646000038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G1">
      <selection activeCell="I1" sqref="I1:K13"/>
    </sheetView>
  </sheetViews>
  <sheetFormatPr defaultColWidth="9.140625" defaultRowHeight="12.75"/>
  <cols>
    <col min="1" max="1" width="9.140625" style="0" bestFit="1" customWidth="1"/>
  </cols>
  <sheetData>
    <row r="1" spans="1:11" ht="12.75">
      <c r="A1" t="s">
        <v>14</v>
      </c>
      <c r="D1" t="s">
        <v>7</v>
      </c>
      <c r="E1" t="s">
        <v>8</v>
      </c>
      <c r="I1" t="s">
        <v>10</v>
      </c>
      <c r="J1" t="s">
        <v>11</v>
      </c>
      <c r="K1" t="s">
        <v>12</v>
      </c>
    </row>
    <row r="2" spans="1:10" ht="12.75">
      <c r="A2" s="1">
        <v>39175</v>
      </c>
      <c r="D2">
        <v>113.54309523809526</v>
      </c>
      <c r="E2">
        <v>-15.848603174603172</v>
      </c>
      <c r="I2">
        <v>5</v>
      </c>
      <c r="J2">
        <f>G16</f>
        <v>0.39117043121149897</v>
      </c>
    </row>
    <row r="3" spans="1:11" ht="12.75">
      <c r="A3" s="1"/>
      <c r="I3">
        <v>7</v>
      </c>
      <c r="J3">
        <f>G24</f>
        <v>0.5076687116564417</v>
      </c>
      <c r="K3">
        <f>N22</f>
        <v>1.02</v>
      </c>
    </row>
    <row r="4" spans="1:11" ht="12.75">
      <c r="A4" s="1"/>
      <c r="I4">
        <v>10</v>
      </c>
      <c r="J4">
        <f>G33</f>
        <v>0.7833587011669203</v>
      </c>
      <c r="K4">
        <f>N32</f>
        <v>1.31</v>
      </c>
    </row>
    <row r="5" spans="9:11" ht="12.75">
      <c r="I5">
        <v>15</v>
      </c>
      <c r="J5">
        <f>G42</f>
        <v>0.9359879032258065</v>
      </c>
      <c r="K5">
        <f>N41</f>
        <v>1.75</v>
      </c>
    </row>
    <row r="6" spans="1:11" ht="12.75">
      <c r="A6" t="s">
        <v>26</v>
      </c>
      <c r="I6">
        <v>20</v>
      </c>
      <c r="J6">
        <f>G54</f>
        <v>0.9681059862610403</v>
      </c>
      <c r="K6">
        <f>N53</f>
        <v>2.13</v>
      </c>
    </row>
    <row r="7" spans="1:11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I7">
        <v>30</v>
      </c>
      <c r="J7">
        <f>G67</f>
        <v>0.9765739385065886</v>
      </c>
      <c r="K7">
        <f>N66</f>
        <v>2.68</v>
      </c>
    </row>
    <row r="8" spans="1:11" ht="12.75">
      <c r="A8" s="2">
        <v>100</v>
      </c>
      <c r="I8">
        <v>40</v>
      </c>
      <c r="J8">
        <f>G82</f>
        <v>0.9891614375356532</v>
      </c>
      <c r="K8">
        <f>N81</f>
        <v>3.13</v>
      </c>
    </row>
    <row r="9" spans="9:11" ht="12.75">
      <c r="I9">
        <v>50</v>
      </c>
      <c r="J9">
        <f>G94</f>
        <v>0.9805672268907563</v>
      </c>
      <c r="K9">
        <f>N93</f>
        <v>3.49</v>
      </c>
    </row>
    <row r="10" spans="9:11" ht="12.75">
      <c r="I10">
        <v>60</v>
      </c>
      <c r="J10">
        <f>G108</f>
        <v>0.9775336994508238</v>
      </c>
      <c r="K10">
        <f>N107</f>
        <v>3.69</v>
      </c>
    </row>
    <row r="11" spans="9:11" ht="12.75">
      <c r="I11">
        <v>70</v>
      </c>
      <c r="J11">
        <f>G123</f>
        <v>0.984015984015984</v>
      </c>
      <c r="K11">
        <f>N122</f>
        <v>3.67</v>
      </c>
    </row>
    <row r="12" spans="9:11" ht="12.75">
      <c r="I12">
        <v>90</v>
      </c>
      <c r="J12">
        <f>G136</f>
        <v>0.9979064898813678</v>
      </c>
      <c r="K12">
        <f>N135</f>
        <v>3.69</v>
      </c>
    </row>
    <row r="13" spans="1:11" ht="12.75">
      <c r="A13" t="s">
        <v>17</v>
      </c>
      <c r="I13">
        <v>110</v>
      </c>
      <c r="J13">
        <f>G150</f>
        <v>0.9894736842105263</v>
      </c>
      <c r="K13">
        <f>N149</f>
        <v>3.66</v>
      </c>
    </row>
    <row r="14" spans="1:7" ht="12.7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</row>
    <row r="15" spans="1:2" ht="12.75">
      <c r="A15">
        <v>85</v>
      </c>
      <c r="B15">
        <f>(A15-offset)/gain</f>
        <v>0.888196705956692</v>
      </c>
    </row>
    <row r="16" spans="1:7" ht="12.75">
      <c r="A16">
        <v>100</v>
      </c>
      <c r="B16">
        <f>(A16-offset)/gain</f>
        <v>1.020305135522978</v>
      </c>
      <c r="C16">
        <v>498252</v>
      </c>
      <c r="D16">
        <v>1976</v>
      </c>
      <c r="F16">
        <v>762</v>
      </c>
      <c r="G16">
        <f>(F16+E16)/(D16-14*2)</f>
        <v>0.39117043121149897</v>
      </c>
    </row>
    <row r="17" spans="1:7" ht="12.75">
      <c r="A17">
        <v>120</v>
      </c>
      <c r="B17">
        <f>(A17-offset)/gain</f>
        <v>1.1964497082780257</v>
      </c>
      <c r="C17">
        <v>27386</v>
      </c>
      <c r="D17">
        <v>2016</v>
      </c>
      <c r="F17">
        <v>416</v>
      </c>
      <c r="G17">
        <f>(F17+E17)/(D17-14*2)</f>
        <v>0.20925553319919518</v>
      </c>
    </row>
    <row r="18" spans="1:7" ht="12.75">
      <c r="A18">
        <v>150</v>
      </c>
      <c r="B18">
        <f>(A18-offset)/gain</f>
        <v>1.4606665674105976</v>
      </c>
      <c r="C18">
        <v>10804</v>
      </c>
      <c r="D18">
        <v>1986</v>
      </c>
      <c r="F18">
        <v>190</v>
      </c>
      <c r="G18">
        <f>(F18+E18)/(D18-14*2)</f>
        <v>0.09703779366700716</v>
      </c>
    </row>
    <row r="21" ht="12.75">
      <c r="A21" t="s">
        <v>18</v>
      </c>
    </row>
    <row r="22" spans="1:15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N22">
        <v>1.02</v>
      </c>
      <c r="O22">
        <f>0.8808*N22^2-2.991*N22+2.6425</f>
        <v>0.5080643199999999</v>
      </c>
    </row>
    <row r="23" spans="1:15" ht="12.75">
      <c r="A23">
        <v>85</v>
      </c>
      <c r="B23">
        <f>(A23-offset)/gain</f>
        <v>0.888196705956692</v>
      </c>
      <c r="N23">
        <f>N22+0.01</f>
        <v>1.03</v>
      </c>
      <c r="O23">
        <f>0.8808*N23^2-2.991*N23+2.6425</f>
        <v>0.4962107200000001</v>
      </c>
    </row>
    <row r="24" spans="1:15" ht="12.75">
      <c r="A24">
        <v>100</v>
      </c>
      <c r="B24">
        <f>(A24-offset)/gain</f>
        <v>1.020305135522978</v>
      </c>
      <c r="C24">
        <v>45721</v>
      </c>
      <c r="D24">
        <v>1984</v>
      </c>
      <c r="F24">
        <v>993</v>
      </c>
      <c r="G24">
        <f>(F24+E24)/(D24-14*2)</f>
        <v>0.5076687116564417</v>
      </c>
      <c r="N24">
        <f>N23+0.01</f>
        <v>1.04</v>
      </c>
      <c r="O24">
        <f>0.8808*N24^2-2.991*N24+2.6425</f>
        <v>0.48453327999999996</v>
      </c>
    </row>
    <row r="25" spans="1:15" ht="12.75">
      <c r="A25">
        <v>120</v>
      </c>
      <c r="B25">
        <f>(A25-offset)/gain</f>
        <v>1.1964497082780257</v>
      </c>
      <c r="C25">
        <v>22683</v>
      </c>
      <c r="D25">
        <v>2008</v>
      </c>
      <c r="F25">
        <v>643</v>
      </c>
      <c r="G25">
        <f>(F25+E25)/(D25-14*2)</f>
        <v>0.32474747474747473</v>
      </c>
      <c r="N25">
        <f>N24+0.01</f>
        <v>1.05</v>
      </c>
      <c r="O25">
        <f>0.8808*N25^2-2.991*N25+2.6425</f>
        <v>0.4730319999999999</v>
      </c>
    </row>
    <row r="26" spans="1:7" ht="12.75">
      <c r="A26">
        <v>150</v>
      </c>
      <c r="B26">
        <f>(A26-offset)/gain</f>
        <v>1.4606665674105976</v>
      </c>
      <c r="C26">
        <v>15305</v>
      </c>
      <c r="D26">
        <v>2030</v>
      </c>
      <c r="F26">
        <v>306</v>
      </c>
      <c r="G26">
        <f>(F26+E26)/(D26-14*2)</f>
        <v>0.15284715284715283</v>
      </c>
    </row>
    <row r="29" ht="13.5" customHeight="1"/>
    <row r="31" ht="12.75">
      <c r="A31" t="s">
        <v>16</v>
      </c>
    </row>
    <row r="32" spans="1:15" ht="12.7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N32">
        <v>1.31</v>
      </c>
      <c r="O32">
        <f>-0.1575*N32^2-0.625*N32+1.5851</f>
        <v>0.4960642499999999</v>
      </c>
    </row>
    <row r="33" spans="1:15" ht="12.75">
      <c r="A33">
        <v>100</v>
      </c>
      <c r="B33">
        <f>(A33-offset)/gain</f>
        <v>1.020305135522978</v>
      </c>
      <c r="C33">
        <v>48411</v>
      </c>
      <c r="D33">
        <v>1999</v>
      </c>
      <c r="F33">
        <v>1544</v>
      </c>
      <c r="G33">
        <f>(F33+E33)/(D33-14*2)</f>
        <v>0.7833587011669203</v>
      </c>
      <c r="N33">
        <f aca="true" t="shared" si="0" ref="N33:N38">N32+0.01</f>
        <v>1.32</v>
      </c>
      <c r="O33">
        <f aca="true" t="shared" si="1" ref="O33:O38">-0.1575*N33^2-0.625*N33+1.5851</f>
        <v>0.4856719999999999</v>
      </c>
    </row>
    <row r="34" spans="1:15" ht="12.75">
      <c r="A34">
        <v>120</v>
      </c>
      <c r="B34">
        <f>(A34-offset)/gain</f>
        <v>1.1964497082780257</v>
      </c>
      <c r="C34">
        <v>36737</v>
      </c>
      <c r="D34">
        <v>1934</v>
      </c>
      <c r="F34">
        <v>1166</v>
      </c>
      <c r="G34">
        <f>(F34+E34)/(D34-14*2)</f>
        <v>0.6117523609653726</v>
      </c>
      <c r="N34">
        <f t="shared" si="0"/>
        <v>1.33</v>
      </c>
      <c r="O34">
        <f t="shared" si="1"/>
        <v>0.4752482499999999</v>
      </c>
    </row>
    <row r="35" spans="1:15" ht="12.75">
      <c r="A35">
        <v>150</v>
      </c>
      <c r="B35">
        <f>(A35-offset)/gain</f>
        <v>1.4606665674105976</v>
      </c>
      <c r="C35">
        <v>25911</v>
      </c>
      <c r="D35">
        <v>2019</v>
      </c>
      <c r="F35">
        <v>669</v>
      </c>
      <c r="G35">
        <f>(F35+E35)/(D35-14*2)</f>
        <v>0.33601205424409847</v>
      </c>
      <c r="N35">
        <f t="shared" si="0"/>
        <v>1.34</v>
      </c>
      <c r="O35">
        <f t="shared" si="1"/>
        <v>0.464793</v>
      </c>
    </row>
    <row r="36" spans="1:15" ht="12.75">
      <c r="A36">
        <v>180</v>
      </c>
      <c r="B36">
        <f>(A36-offset)/gain</f>
        <v>1.7248834265431694</v>
      </c>
      <c r="C36">
        <v>21426</v>
      </c>
      <c r="D36">
        <v>1959</v>
      </c>
      <c r="F36">
        <v>331</v>
      </c>
      <c r="G36">
        <f>(F36+E36)/(D36-14*2)</f>
        <v>0.17141377524598653</v>
      </c>
      <c r="N36">
        <f t="shared" si="0"/>
        <v>1.35</v>
      </c>
      <c r="O36">
        <f t="shared" si="1"/>
        <v>0.4543062499999999</v>
      </c>
    </row>
    <row r="37" spans="14:15" ht="12.75">
      <c r="N37">
        <f t="shared" si="0"/>
        <v>1.36</v>
      </c>
      <c r="O37">
        <f t="shared" si="1"/>
        <v>0.44378799999999985</v>
      </c>
    </row>
    <row r="38" spans="14:15" ht="12.75">
      <c r="N38">
        <f t="shared" si="0"/>
        <v>1.37</v>
      </c>
      <c r="O38">
        <f t="shared" si="1"/>
        <v>0.4332382499999998</v>
      </c>
    </row>
    <row r="40" ht="12.75">
      <c r="A40" t="s">
        <v>15</v>
      </c>
    </row>
    <row r="41" spans="1:15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N41">
        <v>1.75</v>
      </c>
      <c r="O41">
        <f>0.5264*N41^3-2.6899*N41^2+3.7551*N41-0.6542</f>
        <v>0.5005812500000001</v>
      </c>
    </row>
    <row r="42" spans="1:15" ht="12.75">
      <c r="A42">
        <v>100</v>
      </c>
      <c r="B42">
        <f>(A42-offset)/gain</f>
        <v>1.020305135522978</v>
      </c>
      <c r="C42">
        <v>65311</v>
      </c>
      <c r="D42">
        <v>2012</v>
      </c>
      <c r="F42">
        <v>1857</v>
      </c>
      <c r="G42">
        <f>(F42+E42)/(D42-14*2)</f>
        <v>0.9359879032258065</v>
      </c>
      <c r="N42">
        <f aca="true" t="shared" si="2" ref="N42:N47">N41+0.01</f>
        <v>1.76</v>
      </c>
      <c r="O42">
        <f aca="true" t="shared" si="3" ref="O42:O47">0.5264*N42^3-2.6899*N42^2+3.7551*N42-0.6542</f>
        <v>0.49235664640000054</v>
      </c>
    </row>
    <row r="43" spans="1:15" ht="12.75">
      <c r="A43">
        <v>150</v>
      </c>
      <c r="B43">
        <f>(A43-offset)/gain</f>
        <v>1.4606665674105976</v>
      </c>
      <c r="C43">
        <v>44671</v>
      </c>
      <c r="D43">
        <v>2070</v>
      </c>
      <c r="F43">
        <v>1495</v>
      </c>
      <c r="G43">
        <f>(F43+E43)/(D43-14*2)</f>
        <v>0.7321253672869735</v>
      </c>
      <c r="N43">
        <f t="shared" si="2"/>
        <v>1.77</v>
      </c>
      <c r="O43">
        <f t="shared" si="3"/>
        <v>0.48414994119999866</v>
      </c>
    </row>
    <row r="44" spans="1:15" ht="12.75">
      <c r="A44">
        <v>180</v>
      </c>
      <c r="B44">
        <f>(A44-offset)/gain</f>
        <v>1.7248834265431694</v>
      </c>
      <c r="C44">
        <v>34995</v>
      </c>
      <c r="D44">
        <v>2033</v>
      </c>
      <c r="F44">
        <v>1045</v>
      </c>
      <c r="G44">
        <f>(F44+E44)/(D44-14*2)</f>
        <v>0.5211970074812967</v>
      </c>
      <c r="N44">
        <f t="shared" si="2"/>
        <v>1.78</v>
      </c>
      <c r="O44">
        <f t="shared" si="3"/>
        <v>0.4759642927999991</v>
      </c>
    </row>
    <row r="45" spans="1:15" ht="12.75">
      <c r="A45">
        <v>210</v>
      </c>
      <c r="B45">
        <f>(A45-offset)/gain</f>
        <v>1.9891002856757412</v>
      </c>
      <c r="C45">
        <v>28145</v>
      </c>
      <c r="D45">
        <v>1993</v>
      </c>
      <c r="F45">
        <v>619</v>
      </c>
      <c r="G45">
        <f>(F45+E45)/(D45-14*2)</f>
        <v>0.3150127226463104</v>
      </c>
      <c r="N45">
        <f t="shared" si="2"/>
        <v>1.79</v>
      </c>
      <c r="O45">
        <f t="shared" si="3"/>
        <v>0.46780285959999934</v>
      </c>
    </row>
    <row r="46" spans="1:15" ht="12.75">
      <c r="A46">
        <v>240</v>
      </c>
      <c r="B46">
        <f>(A46-offset)/gain</f>
        <v>2.253317144808313</v>
      </c>
      <c r="C46">
        <v>22827</v>
      </c>
      <c r="D46">
        <v>1941</v>
      </c>
      <c r="F46">
        <v>408</v>
      </c>
      <c r="G46">
        <f>(F46+E46)/(D46-14*2)</f>
        <v>0.21327757449032933</v>
      </c>
      <c r="N46">
        <f t="shared" si="2"/>
        <v>1.8</v>
      </c>
      <c r="O46">
        <f t="shared" si="3"/>
        <v>0.45966879999999966</v>
      </c>
    </row>
    <row r="47" spans="14:15" ht="12.75">
      <c r="N47">
        <f t="shared" si="2"/>
        <v>1.81</v>
      </c>
      <c r="O47">
        <f t="shared" si="3"/>
        <v>0.4515652724000002</v>
      </c>
    </row>
    <row r="52" ht="12.75">
      <c r="A52" t="s">
        <v>9</v>
      </c>
    </row>
    <row r="53" spans="1:15" ht="12.75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N53">
        <v>2.13</v>
      </c>
      <c r="O53">
        <f aca="true" t="shared" si="4" ref="O53:O58">0.3713*N53^3-2.2643*N53^2+3.9203*N53-1.164</f>
        <v>0.501429896100001</v>
      </c>
    </row>
    <row r="54" spans="1:15" ht="12.75">
      <c r="A54">
        <v>100</v>
      </c>
      <c r="B54">
        <f aca="true" t="shared" si="5" ref="B54:B59">(A54-offset)/gain</f>
        <v>1.020305135522978</v>
      </c>
      <c r="C54">
        <v>73395</v>
      </c>
      <c r="D54">
        <v>2066</v>
      </c>
      <c r="F54">
        <v>1973</v>
      </c>
      <c r="G54">
        <f aca="true" t="shared" si="6" ref="G54:G59">(F54+E54)/(D54-14*2)</f>
        <v>0.9681059862610403</v>
      </c>
      <c r="N54">
        <f>N53+0.01</f>
        <v>2.1399999999999997</v>
      </c>
      <c r="O54">
        <f t="shared" si="4"/>
        <v>0.49472144720000144</v>
      </c>
    </row>
    <row r="55" spans="1:15" ht="12.75">
      <c r="A55">
        <v>180</v>
      </c>
      <c r="B55">
        <f t="shared" si="5"/>
        <v>1.7248834265431694</v>
      </c>
      <c r="C55">
        <v>49804</v>
      </c>
      <c r="D55">
        <v>2003</v>
      </c>
      <c r="E55">
        <v>20</v>
      </c>
      <c r="F55">
        <v>1494</v>
      </c>
      <c r="G55">
        <f t="shared" si="6"/>
        <v>0.7665822784810127</v>
      </c>
      <c r="N55">
        <f>N54+0.01</f>
        <v>2.1499999999999995</v>
      </c>
      <c r="O55">
        <f t="shared" si="4"/>
        <v>0.4880368874999996</v>
      </c>
    </row>
    <row r="56" spans="1:15" ht="12.75">
      <c r="A56">
        <v>210</v>
      </c>
      <c r="B56">
        <f t="shared" si="5"/>
        <v>1.9891002856757412</v>
      </c>
      <c r="C56">
        <v>39238</v>
      </c>
      <c r="D56">
        <v>2074</v>
      </c>
      <c r="F56">
        <v>1226</v>
      </c>
      <c r="G56">
        <f t="shared" si="6"/>
        <v>0.5992179863147605</v>
      </c>
      <c r="N56">
        <f>N55+0.01</f>
        <v>2.1599999999999993</v>
      </c>
      <c r="O56">
        <f t="shared" si="4"/>
        <v>0.48137844480000047</v>
      </c>
    </row>
    <row r="57" spans="1:15" ht="12.75">
      <c r="A57">
        <v>240</v>
      </c>
      <c r="B57">
        <f t="shared" si="5"/>
        <v>2.253317144808313</v>
      </c>
      <c r="C57">
        <v>32842</v>
      </c>
      <c r="D57">
        <v>2060</v>
      </c>
      <c r="E57">
        <v>5</v>
      </c>
      <c r="F57">
        <v>846</v>
      </c>
      <c r="G57">
        <f t="shared" si="6"/>
        <v>0.4187992125984252</v>
      </c>
      <c r="N57">
        <f>N56+0.01</f>
        <v>2.169999999999999</v>
      </c>
      <c r="O57">
        <f t="shared" si="4"/>
        <v>0.4747483469000018</v>
      </c>
    </row>
    <row r="58" spans="1:15" ht="12.75">
      <c r="A58">
        <v>270</v>
      </c>
      <c r="B58">
        <f t="shared" si="5"/>
        <v>2.517534003940885</v>
      </c>
      <c r="C58">
        <v>25766</v>
      </c>
      <c r="D58">
        <v>1960</v>
      </c>
      <c r="F58">
        <v>543</v>
      </c>
      <c r="G58">
        <f t="shared" si="6"/>
        <v>0.281055900621118</v>
      </c>
      <c r="N58">
        <f>N57+0.01</f>
        <v>2.179999999999999</v>
      </c>
      <c r="O58">
        <f t="shared" si="4"/>
        <v>0.4681488216000014</v>
      </c>
    </row>
    <row r="59" spans="1:7" ht="12.75">
      <c r="A59">
        <v>300</v>
      </c>
      <c r="B59">
        <f t="shared" si="5"/>
        <v>2.7817508630734564</v>
      </c>
      <c r="C59">
        <v>21810</v>
      </c>
      <c r="D59">
        <v>2005</v>
      </c>
      <c r="F59">
        <v>420</v>
      </c>
      <c r="G59">
        <f t="shared" si="6"/>
        <v>0.212443095599393</v>
      </c>
    </row>
    <row r="65" ht="12.75">
      <c r="A65" t="s">
        <v>19</v>
      </c>
    </row>
    <row r="66" spans="1:15" ht="12.75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N66">
        <v>2.68</v>
      </c>
      <c r="O66">
        <f>0.1084*N66^3-0.8145*N66^2+1.5391*N66+0.1386</f>
        <v>0.4998965887999988</v>
      </c>
    </row>
    <row r="67" spans="1:15" ht="12.75">
      <c r="A67">
        <v>100</v>
      </c>
      <c r="B67">
        <f aca="true" t="shared" si="7" ref="B67:B75">(A67-offset)/gain</f>
        <v>1.020305135522978</v>
      </c>
      <c r="C67">
        <v>96338</v>
      </c>
      <c r="D67">
        <v>2077</v>
      </c>
      <c r="E67">
        <v>24</v>
      </c>
      <c r="F67">
        <v>1977</v>
      </c>
      <c r="G67">
        <f aca="true" t="shared" si="8" ref="G67:G75">(F67+E67)/(D67-14*2)</f>
        <v>0.9765739385065886</v>
      </c>
      <c r="N67">
        <f aca="true" t="shared" si="9" ref="N67:N72">N66+0.01</f>
        <v>2.69</v>
      </c>
      <c r="O67">
        <f aca="true" t="shared" si="10" ref="O67:O72">0.1084*N67^3-0.8145*N67^2+1.5391*N67+0.1386</f>
        <v>0.49499336559999935</v>
      </c>
    </row>
    <row r="68" spans="1:15" ht="12.75">
      <c r="A68">
        <v>180</v>
      </c>
      <c r="B68">
        <f t="shared" si="7"/>
        <v>1.7248834265431694</v>
      </c>
      <c r="C68">
        <v>63461</v>
      </c>
      <c r="D68">
        <v>2029</v>
      </c>
      <c r="E68">
        <v>30</v>
      </c>
      <c r="F68">
        <v>1809</v>
      </c>
      <c r="G68">
        <f t="shared" si="8"/>
        <v>0.9190404797601199</v>
      </c>
      <c r="N68">
        <f t="shared" si="9"/>
        <v>2.6999999999999997</v>
      </c>
      <c r="O68">
        <f t="shared" si="10"/>
        <v>0.49010219999999965</v>
      </c>
    </row>
    <row r="69" spans="1:15" ht="12.75">
      <c r="A69">
        <v>210</v>
      </c>
      <c r="B69">
        <f t="shared" si="7"/>
        <v>1.9891002856757412</v>
      </c>
      <c r="C69">
        <v>56000</v>
      </c>
      <c r="D69">
        <v>2069</v>
      </c>
      <c r="F69">
        <v>1714</v>
      </c>
      <c r="G69">
        <f t="shared" si="8"/>
        <v>0.8397844194022538</v>
      </c>
      <c r="N69">
        <f t="shared" si="9"/>
        <v>2.7099999999999995</v>
      </c>
      <c r="O69">
        <f t="shared" si="10"/>
        <v>0.4852237423999998</v>
      </c>
    </row>
    <row r="70" spans="1:15" ht="12.75">
      <c r="A70">
        <v>240</v>
      </c>
      <c r="B70">
        <f t="shared" si="7"/>
        <v>2.253317144808313</v>
      </c>
      <c r="C70">
        <v>47584</v>
      </c>
      <c r="D70">
        <v>2000</v>
      </c>
      <c r="F70">
        <v>1411</v>
      </c>
      <c r="G70">
        <f t="shared" si="8"/>
        <v>0.7155172413793104</v>
      </c>
      <c r="N70">
        <f t="shared" si="9"/>
        <v>2.7199999999999993</v>
      </c>
      <c r="O70">
        <f t="shared" si="10"/>
        <v>0.48035864319999994</v>
      </c>
    </row>
    <row r="71" spans="1:15" ht="12.75">
      <c r="A71">
        <v>270</v>
      </c>
      <c r="B71">
        <f t="shared" si="7"/>
        <v>2.517534003940885</v>
      </c>
      <c r="C71">
        <v>41088</v>
      </c>
      <c r="D71">
        <v>2044</v>
      </c>
      <c r="F71">
        <v>1156</v>
      </c>
      <c r="G71">
        <f t="shared" si="8"/>
        <v>0.5734126984126984</v>
      </c>
      <c r="N71">
        <f t="shared" si="9"/>
        <v>2.729999999999999</v>
      </c>
      <c r="O71">
        <f t="shared" si="10"/>
        <v>0.47550755280000007</v>
      </c>
    </row>
    <row r="72" spans="1:15" ht="12.75">
      <c r="A72">
        <v>300</v>
      </c>
      <c r="B72">
        <f t="shared" si="7"/>
        <v>2.7817508630734564</v>
      </c>
      <c r="C72">
        <v>34779</v>
      </c>
      <c r="D72">
        <v>2006</v>
      </c>
      <c r="F72">
        <v>893</v>
      </c>
      <c r="G72">
        <f t="shared" si="8"/>
        <v>0.45146612740141556</v>
      </c>
      <c r="N72">
        <f t="shared" si="9"/>
        <v>2.739999999999999</v>
      </c>
      <c r="O72">
        <f t="shared" si="10"/>
        <v>0.47067112159999985</v>
      </c>
    </row>
    <row r="73" spans="1:7" ht="12.75">
      <c r="A73">
        <v>330</v>
      </c>
      <c r="B73">
        <f t="shared" si="7"/>
        <v>3.0459677222060284</v>
      </c>
      <c r="C73">
        <v>29762</v>
      </c>
      <c r="D73">
        <v>2018</v>
      </c>
      <c r="F73">
        <v>634</v>
      </c>
      <c r="G73">
        <f t="shared" si="8"/>
        <v>0.3185929648241206</v>
      </c>
    </row>
    <row r="74" spans="1:7" ht="12.75">
      <c r="A74">
        <v>360</v>
      </c>
      <c r="B74">
        <f t="shared" si="7"/>
        <v>3.3101845813386</v>
      </c>
      <c r="C74">
        <v>24837</v>
      </c>
      <c r="D74">
        <v>2011</v>
      </c>
      <c r="F74">
        <v>515</v>
      </c>
      <c r="G74">
        <f t="shared" si="8"/>
        <v>0.25970751386787694</v>
      </c>
    </row>
    <row r="75" spans="1:7" ht="12.75">
      <c r="A75">
        <v>390</v>
      </c>
      <c r="B75">
        <f t="shared" si="7"/>
        <v>3.574401440471172</v>
      </c>
      <c r="C75">
        <v>21442</v>
      </c>
      <c r="D75">
        <v>2029</v>
      </c>
      <c r="F75">
        <v>352</v>
      </c>
      <c r="G75">
        <f t="shared" si="8"/>
        <v>0.175912043978011</v>
      </c>
    </row>
    <row r="80" ht="12.75">
      <c r="A80" t="s">
        <v>25</v>
      </c>
    </row>
    <row r="81" spans="1:15" ht="12.75">
      <c r="A81" t="s">
        <v>0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N81">
        <v>3.13</v>
      </c>
      <c r="O81">
        <f>0.0838*N81^3-0.7119*N81^2+1.5589*N81+0.0265</f>
        <v>0.5011119785999996</v>
      </c>
    </row>
    <row r="82" spans="1:15" ht="12.75">
      <c r="A82">
        <v>100</v>
      </c>
      <c r="B82">
        <f aca="true" t="shared" si="11" ref="B82:B88">(A82-offset)/gain</f>
        <v>1.020305135522978</v>
      </c>
      <c r="C82">
        <v>101801</v>
      </c>
      <c r="D82">
        <v>1781</v>
      </c>
      <c r="F82">
        <v>1734</v>
      </c>
      <c r="G82">
        <f aca="true" t="shared" si="12" ref="G82:G88">(F82+E82)/(D82-14*2)</f>
        <v>0.9891614375356532</v>
      </c>
      <c r="N82">
        <f aca="true" t="shared" si="13" ref="N82:N87">N81+0.01</f>
        <v>3.1399999999999997</v>
      </c>
      <c r="O82">
        <f aca="true" t="shared" si="14" ref="O82:O87">0.0838*N82^3-0.7119*N82^2+1.5589*N82+0.0265</f>
        <v>0.4967730272000002</v>
      </c>
    </row>
    <row r="83" spans="1:15" ht="12.75">
      <c r="A83">
        <v>270</v>
      </c>
      <c r="B83">
        <f t="shared" si="11"/>
        <v>2.517534003940885</v>
      </c>
      <c r="C83">
        <v>50823</v>
      </c>
      <c r="D83">
        <v>1328</v>
      </c>
      <c r="F83">
        <v>1010</v>
      </c>
      <c r="G83">
        <f t="shared" si="12"/>
        <v>0.7769230769230769</v>
      </c>
      <c r="N83">
        <f t="shared" si="13"/>
        <v>3.1499999999999995</v>
      </c>
      <c r="O83">
        <f t="shared" si="14"/>
        <v>0.4924495750000007</v>
      </c>
    </row>
    <row r="84" spans="1:15" ht="12.75">
      <c r="A84">
        <v>300</v>
      </c>
      <c r="B84">
        <f t="shared" si="11"/>
        <v>2.7817508630734564</v>
      </c>
      <c r="C84">
        <v>45304</v>
      </c>
      <c r="D84">
        <v>1947</v>
      </c>
      <c r="F84">
        <v>1253</v>
      </c>
      <c r="G84">
        <f t="shared" si="12"/>
        <v>0.6529442417926004</v>
      </c>
      <c r="N84">
        <f t="shared" si="13"/>
        <v>3.1599999999999993</v>
      </c>
      <c r="O84">
        <f t="shared" si="14"/>
        <v>0.4881421248000018</v>
      </c>
    </row>
    <row r="85" spans="1:15" ht="12.75">
      <c r="A85">
        <v>330</v>
      </c>
      <c r="B85">
        <f t="shared" si="11"/>
        <v>3.0459677222060284</v>
      </c>
      <c r="C85">
        <v>39423</v>
      </c>
      <c r="D85">
        <v>1520</v>
      </c>
      <c r="F85">
        <v>810</v>
      </c>
      <c r="G85">
        <f t="shared" si="12"/>
        <v>0.5428954423592494</v>
      </c>
      <c r="N85">
        <f t="shared" si="13"/>
        <v>3.169999999999999</v>
      </c>
      <c r="O85">
        <f t="shared" si="14"/>
        <v>0.48385117939999983</v>
      </c>
    </row>
    <row r="86" spans="1:15" ht="12.75">
      <c r="A86">
        <v>360</v>
      </c>
      <c r="B86">
        <f t="shared" si="11"/>
        <v>3.3101845813386</v>
      </c>
      <c r="C86">
        <v>33957</v>
      </c>
      <c r="D86">
        <v>1941</v>
      </c>
      <c r="F86">
        <v>808</v>
      </c>
      <c r="G86">
        <f t="shared" si="12"/>
        <v>0.42237323575535807</v>
      </c>
      <c r="N86">
        <f t="shared" si="13"/>
        <v>3.179999999999999</v>
      </c>
      <c r="O86">
        <f t="shared" si="14"/>
        <v>0.4795772416</v>
      </c>
    </row>
    <row r="87" spans="1:15" ht="12.75">
      <c r="A87">
        <v>390</v>
      </c>
      <c r="B87">
        <f t="shared" si="11"/>
        <v>3.574401440471172</v>
      </c>
      <c r="C87">
        <v>29303</v>
      </c>
      <c r="D87">
        <v>1965</v>
      </c>
      <c r="F87">
        <v>636</v>
      </c>
      <c r="G87">
        <f t="shared" si="12"/>
        <v>0.32834279814145584</v>
      </c>
      <c r="N87">
        <f t="shared" si="13"/>
        <v>3.1899999999999986</v>
      </c>
      <c r="O87">
        <f t="shared" si="14"/>
        <v>0.4753208142000012</v>
      </c>
    </row>
    <row r="88" spans="1:7" ht="12.75">
      <c r="A88">
        <v>420</v>
      </c>
      <c r="B88">
        <f t="shared" si="11"/>
        <v>3.838618299603744</v>
      </c>
      <c r="C88">
        <v>25671</v>
      </c>
      <c r="D88">
        <v>2067</v>
      </c>
      <c r="F88">
        <v>529</v>
      </c>
      <c r="G88">
        <f t="shared" si="12"/>
        <v>0.2594409024031388</v>
      </c>
    </row>
    <row r="92" ht="12.75">
      <c r="A92" t="s">
        <v>20</v>
      </c>
    </row>
    <row r="93" spans="1:15" ht="12.75">
      <c r="A93" t="s">
        <v>0</v>
      </c>
      <c r="B93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N93">
        <v>3.49</v>
      </c>
      <c r="O93">
        <f>0.0476*N93^3-0.4822*N93^2+1.2439*N93+0.0094</f>
        <v>0.5007737124000001</v>
      </c>
    </row>
    <row r="94" spans="1:15" ht="12.75">
      <c r="A94">
        <v>100</v>
      </c>
      <c r="B94">
        <f aca="true" t="shared" si="15" ref="B94:B102">(A94-offset)/gain</f>
        <v>1.020305135522978</v>
      </c>
      <c r="C94">
        <v>108013</v>
      </c>
      <c r="D94">
        <v>1932</v>
      </c>
      <c r="E94">
        <v>25</v>
      </c>
      <c r="F94">
        <v>1842</v>
      </c>
      <c r="G94">
        <f aca="true" t="shared" si="16" ref="G94:G102">(F94+E94)/(D94-14*2)</f>
        <v>0.9805672268907563</v>
      </c>
      <c r="N94">
        <f aca="true" t="shared" si="17" ref="N94:N100">N93+0.01</f>
        <v>3.5</v>
      </c>
      <c r="O94">
        <f aca="true" t="shared" si="18" ref="O94:O100">0.0476*N94^3-0.4822*N94^2+1.2439*N94+0.0094</f>
        <v>0.49695000000000017</v>
      </c>
    </row>
    <row r="95" spans="1:15" ht="12.75">
      <c r="A95">
        <v>270</v>
      </c>
      <c r="B95">
        <f t="shared" si="15"/>
        <v>2.517534003940885</v>
      </c>
      <c r="C95">
        <v>58661</v>
      </c>
      <c r="D95">
        <v>1470</v>
      </c>
      <c r="F95">
        <v>1223</v>
      </c>
      <c r="G95">
        <f t="shared" si="16"/>
        <v>0.848127600554785</v>
      </c>
      <c r="N95">
        <f t="shared" si="17"/>
        <v>3.51</v>
      </c>
      <c r="O95">
        <f t="shared" si="18"/>
        <v>0.4931298076000001</v>
      </c>
    </row>
    <row r="96" spans="1:15" ht="12.75">
      <c r="A96">
        <v>300</v>
      </c>
      <c r="B96">
        <f t="shared" si="15"/>
        <v>2.7817508630734564</v>
      </c>
      <c r="C96">
        <v>53116</v>
      </c>
      <c r="D96">
        <v>1961</v>
      </c>
      <c r="F96">
        <v>1457</v>
      </c>
      <c r="G96">
        <f t="shared" si="16"/>
        <v>0.7537506466632178</v>
      </c>
      <c r="N96">
        <f t="shared" si="17"/>
        <v>3.5199999999999996</v>
      </c>
      <c r="O96">
        <f t="shared" si="18"/>
        <v>0.4893134207999991</v>
      </c>
    </row>
    <row r="97" spans="1:15" ht="12.75">
      <c r="A97">
        <v>330</v>
      </c>
      <c r="B97">
        <f t="shared" si="15"/>
        <v>3.0459677222060284</v>
      </c>
      <c r="C97">
        <v>47267</v>
      </c>
      <c r="D97">
        <v>1555</v>
      </c>
      <c r="F97">
        <v>1039</v>
      </c>
      <c r="G97">
        <f t="shared" si="16"/>
        <v>0.6804191224623445</v>
      </c>
      <c r="N97">
        <f t="shared" si="17"/>
        <v>3.5299999999999994</v>
      </c>
      <c r="O97">
        <f t="shared" si="18"/>
        <v>0.48550112520000005</v>
      </c>
    </row>
    <row r="98" spans="1:15" ht="12.75">
      <c r="A98">
        <v>360</v>
      </c>
      <c r="B98">
        <f t="shared" si="15"/>
        <v>3.3101845813386</v>
      </c>
      <c r="C98">
        <v>42052</v>
      </c>
      <c r="D98">
        <v>1861</v>
      </c>
      <c r="F98">
        <v>1043</v>
      </c>
      <c r="G98">
        <f t="shared" si="16"/>
        <v>0.569012547735952</v>
      </c>
      <c r="N98">
        <f t="shared" si="17"/>
        <v>3.539999999999999</v>
      </c>
      <c r="O98">
        <f t="shared" si="18"/>
        <v>0.48169320639999985</v>
      </c>
    </row>
    <row r="99" spans="1:15" ht="12.75">
      <c r="A99">
        <v>390</v>
      </c>
      <c r="B99">
        <f t="shared" si="15"/>
        <v>3.574401440471172</v>
      </c>
      <c r="C99">
        <v>37210</v>
      </c>
      <c r="D99">
        <v>1949</v>
      </c>
      <c r="F99">
        <v>906</v>
      </c>
      <c r="G99">
        <f t="shared" si="16"/>
        <v>0.4716293597084852</v>
      </c>
      <c r="N99">
        <f t="shared" si="17"/>
        <v>3.549999999999999</v>
      </c>
      <c r="O99">
        <f t="shared" si="18"/>
        <v>0.4778899500000013</v>
      </c>
    </row>
    <row r="100" spans="1:15" ht="12.75">
      <c r="A100">
        <v>420</v>
      </c>
      <c r="B100">
        <f t="shared" si="15"/>
        <v>3.838618299603744</v>
      </c>
      <c r="C100">
        <v>31986</v>
      </c>
      <c r="D100">
        <v>1988</v>
      </c>
      <c r="F100">
        <v>726</v>
      </c>
      <c r="G100">
        <f t="shared" si="16"/>
        <v>0.3704081632653061</v>
      </c>
      <c r="N100">
        <f t="shared" si="17"/>
        <v>3.5599999999999987</v>
      </c>
      <c r="O100">
        <f t="shared" si="18"/>
        <v>0.4740916416000009</v>
      </c>
    </row>
    <row r="101" spans="1:7" ht="12.75">
      <c r="A101">
        <v>450</v>
      </c>
      <c r="B101">
        <f t="shared" si="15"/>
        <v>4.102835158736315</v>
      </c>
      <c r="C101">
        <v>28249</v>
      </c>
      <c r="D101">
        <v>1968</v>
      </c>
      <c r="F101">
        <v>558</v>
      </c>
      <c r="G101">
        <f t="shared" si="16"/>
        <v>0.2876288659793814</v>
      </c>
    </row>
    <row r="102" spans="1:7" ht="12.75">
      <c r="A102">
        <v>480</v>
      </c>
      <c r="B102">
        <f t="shared" si="15"/>
        <v>4.367052017868887</v>
      </c>
      <c r="C102">
        <v>24780</v>
      </c>
      <c r="D102">
        <v>1946</v>
      </c>
      <c r="F102">
        <v>454</v>
      </c>
      <c r="G102">
        <f t="shared" si="16"/>
        <v>0.23670490093847757</v>
      </c>
    </row>
    <row r="106" ht="12.75">
      <c r="A106" t="s">
        <v>24</v>
      </c>
    </row>
    <row r="107" spans="1:15" ht="12.75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N107">
        <v>3.69</v>
      </c>
      <c r="O107">
        <f>0.1063*N107^3-1.1526*N107^2+3.7865*N107-3.1193</f>
        <v>0.499842516700002</v>
      </c>
    </row>
    <row r="108" spans="1:15" ht="12.75">
      <c r="A108">
        <v>100</v>
      </c>
      <c r="B108">
        <f aca="true" t="shared" si="19" ref="B108:B115">(A108-offset)/gain</f>
        <v>1.020305135522978</v>
      </c>
      <c r="C108">
        <v>112165</v>
      </c>
      <c r="D108">
        <v>2031</v>
      </c>
      <c r="E108">
        <v>10</v>
      </c>
      <c r="F108">
        <v>1948</v>
      </c>
      <c r="G108">
        <f aca="true" t="shared" si="20" ref="G108:G117">(F108+E108)/(D108-14*2)</f>
        <v>0.9775336994508238</v>
      </c>
      <c r="N108">
        <f>N107+0.01</f>
        <v>3.6999999999999997</v>
      </c>
      <c r="O108">
        <f aca="true" t="shared" si="21" ref="O108:O115">0.1063*N108^3-1.1526*N108^2+3.7865*N108-3.1193</f>
        <v>0.4960698999999993</v>
      </c>
    </row>
    <row r="109" spans="1:15" ht="12.75">
      <c r="A109">
        <v>300</v>
      </c>
      <c r="B109">
        <f t="shared" si="19"/>
        <v>2.7817508630734564</v>
      </c>
      <c r="C109">
        <v>56779</v>
      </c>
      <c r="D109">
        <v>1986</v>
      </c>
      <c r="F109">
        <v>1535</v>
      </c>
      <c r="G109">
        <f t="shared" si="20"/>
        <v>0.7839632277834525</v>
      </c>
      <c r="N109">
        <f aca="true" t="shared" si="22" ref="N109:N115">N108+0.01</f>
        <v>3.7099999999999995</v>
      </c>
      <c r="O109">
        <f t="shared" si="21"/>
        <v>0.4923027493000012</v>
      </c>
    </row>
    <row r="110" spans="1:15" ht="12.75">
      <c r="A110">
        <v>330</v>
      </c>
      <c r="B110">
        <f t="shared" si="19"/>
        <v>3.0459677222060284</v>
      </c>
      <c r="C110">
        <v>50974</v>
      </c>
      <c r="D110">
        <v>1974</v>
      </c>
      <c r="F110">
        <v>1399</v>
      </c>
      <c r="G110">
        <f t="shared" si="20"/>
        <v>0.7189105858170607</v>
      </c>
      <c r="N110">
        <f t="shared" si="22"/>
        <v>3.7199999999999993</v>
      </c>
      <c r="O110">
        <f t="shared" si="21"/>
        <v>0.48854170240000006</v>
      </c>
    </row>
    <row r="111" spans="1:15" ht="12.75">
      <c r="A111">
        <v>360</v>
      </c>
      <c r="B111">
        <f t="shared" si="19"/>
        <v>3.3101845813386</v>
      </c>
      <c r="C111">
        <v>45220</v>
      </c>
      <c r="D111">
        <v>1982</v>
      </c>
      <c r="F111">
        <v>1262</v>
      </c>
      <c r="G111">
        <f t="shared" si="20"/>
        <v>0.6458546571136131</v>
      </c>
      <c r="N111">
        <f t="shared" si="22"/>
        <v>3.729999999999999</v>
      </c>
      <c r="O111">
        <f t="shared" si="21"/>
        <v>0.48478739710000074</v>
      </c>
    </row>
    <row r="112" spans="1:15" ht="12.75">
      <c r="A112">
        <v>390</v>
      </c>
      <c r="B112">
        <f t="shared" si="19"/>
        <v>3.574401440471172</v>
      </c>
      <c r="C112">
        <v>40769</v>
      </c>
      <c r="D112">
        <v>2080</v>
      </c>
      <c r="F112">
        <v>1107</v>
      </c>
      <c r="G112">
        <f t="shared" si="20"/>
        <v>0.5394736842105263</v>
      </c>
      <c r="N112">
        <f t="shared" si="22"/>
        <v>3.739999999999999</v>
      </c>
      <c r="O112">
        <f t="shared" si="21"/>
        <v>0.48104047119999915</v>
      </c>
    </row>
    <row r="113" spans="1:15" ht="12.75">
      <c r="A113">
        <v>420</v>
      </c>
      <c r="B113">
        <f t="shared" si="19"/>
        <v>3.838618299603744</v>
      </c>
      <c r="C113">
        <v>35672</v>
      </c>
      <c r="D113">
        <v>2032</v>
      </c>
      <c r="F113">
        <v>893</v>
      </c>
      <c r="G113">
        <f t="shared" si="20"/>
        <v>0.44560878243512975</v>
      </c>
      <c r="N113">
        <f t="shared" si="22"/>
        <v>3.7499999999999987</v>
      </c>
      <c r="O113">
        <f t="shared" si="21"/>
        <v>0.4773015625000019</v>
      </c>
    </row>
    <row r="114" spans="1:15" ht="12.75">
      <c r="A114">
        <v>450</v>
      </c>
      <c r="B114">
        <f t="shared" si="19"/>
        <v>4.102835158736315</v>
      </c>
      <c r="C114">
        <v>31514</v>
      </c>
      <c r="D114">
        <v>1852</v>
      </c>
      <c r="F114">
        <v>642</v>
      </c>
      <c r="G114">
        <f t="shared" si="20"/>
        <v>0.3519736842105263</v>
      </c>
      <c r="N114">
        <f t="shared" si="22"/>
        <v>3.7599999999999985</v>
      </c>
      <c r="O114">
        <f t="shared" si="21"/>
        <v>0.4735713088000013</v>
      </c>
    </row>
    <row r="115" spans="1:15" ht="12.75">
      <c r="A115">
        <v>480</v>
      </c>
      <c r="B115">
        <f t="shared" si="19"/>
        <v>4.367052017868887</v>
      </c>
      <c r="C115">
        <v>27542</v>
      </c>
      <c r="D115">
        <v>1594</v>
      </c>
      <c r="F115">
        <v>450</v>
      </c>
      <c r="G115">
        <f t="shared" si="20"/>
        <v>0.28735632183908044</v>
      </c>
      <c r="N115">
        <f t="shared" si="22"/>
        <v>3.7699999999999982</v>
      </c>
      <c r="O115">
        <f t="shared" si="21"/>
        <v>0.46985034790000224</v>
      </c>
    </row>
    <row r="116" ht="12.75">
      <c r="G116">
        <f t="shared" si="20"/>
        <v>0</v>
      </c>
    </row>
    <row r="117" ht="12.75">
      <c r="G117">
        <f t="shared" si="20"/>
        <v>0</v>
      </c>
    </row>
    <row r="121" ht="12.75">
      <c r="A121" t="s">
        <v>21</v>
      </c>
    </row>
    <row r="122" spans="1:15" ht="12.75">
      <c r="A122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N122">
        <v>3.67</v>
      </c>
      <c r="O122">
        <f>-0.0178*N122^3+0.2374*N122^2-1.3628*N122+3.1824</f>
        <v>0.4985714985999996</v>
      </c>
    </row>
    <row r="123" spans="1:15" ht="12.75">
      <c r="A123">
        <v>100</v>
      </c>
      <c r="B123">
        <f aca="true" t="shared" si="23" ref="B123:B130">(A123-offset)/gain</f>
        <v>1.020305135522978</v>
      </c>
      <c r="C123">
        <v>113716</v>
      </c>
      <c r="D123">
        <v>2030</v>
      </c>
      <c r="E123">
        <v>22</v>
      </c>
      <c r="F123">
        <v>1948</v>
      </c>
      <c r="G123">
        <f aca="true" t="shared" si="24" ref="G123:G130">(F123+E123)/(D123-14*2)</f>
        <v>0.984015984015984</v>
      </c>
      <c r="N123">
        <f aca="true" t="shared" si="25" ref="N123:N130">N122+0.01</f>
        <v>3.6799999999999997</v>
      </c>
      <c r="O123">
        <f aca="true" t="shared" si="26" ref="O123:O130">-0.0178*N123^3+0.2374*N123^2-1.3628*N123+3.1824</f>
        <v>0.4951803903999994</v>
      </c>
    </row>
    <row r="124" spans="1:15" ht="12.75">
      <c r="A124">
        <v>330</v>
      </c>
      <c r="B124">
        <f t="shared" si="23"/>
        <v>3.0459677222060284</v>
      </c>
      <c r="C124">
        <v>52260</v>
      </c>
      <c r="D124">
        <v>1954</v>
      </c>
      <c r="F124">
        <v>1415</v>
      </c>
      <c r="G124">
        <f t="shared" si="24"/>
        <v>0.7346832814122534</v>
      </c>
      <c r="N124">
        <f t="shared" si="25"/>
        <v>3.6899999999999995</v>
      </c>
      <c r="O124">
        <f t="shared" si="26"/>
        <v>0.49179745979999945</v>
      </c>
    </row>
    <row r="125" spans="1:15" ht="12.75">
      <c r="A125">
        <v>360</v>
      </c>
      <c r="B125">
        <f t="shared" si="23"/>
        <v>3.3101845813386</v>
      </c>
      <c r="C125">
        <v>45913</v>
      </c>
      <c r="D125">
        <v>1796</v>
      </c>
      <c r="F125">
        <v>1082</v>
      </c>
      <c r="G125">
        <f t="shared" si="24"/>
        <v>0.6119909502262444</v>
      </c>
      <c r="N125">
        <f t="shared" si="25"/>
        <v>3.6999999999999993</v>
      </c>
      <c r="O125">
        <f t="shared" si="26"/>
        <v>0.4884225999999994</v>
      </c>
    </row>
    <row r="126" spans="1:15" ht="12.75">
      <c r="A126">
        <v>390</v>
      </c>
      <c r="B126">
        <f t="shared" si="23"/>
        <v>3.574401440471172</v>
      </c>
      <c r="C126">
        <v>40679</v>
      </c>
      <c r="D126">
        <v>1910</v>
      </c>
      <c r="F126">
        <v>1010</v>
      </c>
      <c r="G126">
        <f t="shared" si="24"/>
        <v>0.536663124335813</v>
      </c>
      <c r="N126">
        <f t="shared" si="25"/>
        <v>3.709999999999999</v>
      </c>
      <c r="O126">
        <f t="shared" si="26"/>
        <v>0.485055704200001</v>
      </c>
    </row>
    <row r="127" spans="1:15" ht="12.75">
      <c r="A127">
        <v>420</v>
      </c>
      <c r="B127">
        <f t="shared" si="23"/>
        <v>3.838618299603744</v>
      </c>
      <c r="C127">
        <v>36223</v>
      </c>
      <c r="D127">
        <v>1840</v>
      </c>
      <c r="F127">
        <v>811</v>
      </c>
      <c r="G127">
        <f t="shared" si="24"/>
        <v>0.44757174392935983</v>
      </c>
      <c r="N127">
        <f t="shared" si="25"/>
        <v>3.719999999999999</v>
      </c>
      <c r="O127">
        <f t="shared" si="26"/>
        <v>0.4816966656000008</v>
      </c>
    </row>
    <row r="128" spans="1:15" ht="12.75">
      <c r="A128">
        <v>450</v>
      </c>
      <c r="B128">
        <f t="shared" si="23"/>
        <v>4.102835158736315</v>
      </c>
      <c r="C128">
        <v>31414</v>
      </c>
      <c r="D128">
        <v>1851</v>
      </c>
      <c r="F128">
        <v>640</v>
      </c>
      <c r="G128">
        <f t="shared" si="24"/>
        <v>0.3510696653867252</v>
      </c>
      <c r="N128">
        <f t="shared" si="25"/>
        <v>3.7299999999999986</v>
      </c>
      <c r="O128">
        <f t="shared" si="26"/>
        <v>0.4783453774000006</v>
      </c>
    </row>
    <row r="129" spans="1:15" ht="12.75">
      <c r="A129">
        <v>480</v>
      </c>
      <c r="B129">
        <f t="shared" si="23"/>
        <v>4.367052017868887</v>
      </c>
      <c r="C129">
        <v>27628</v>
      </c>
      <c r="D129">
        <v>1258</v>
      </c>
      <c r="F129">
        <v>330</v>
      </c>
      <c r="G129">
        <f t="shared" si="24"/>
        <v>0.2682926829268293</v>
      </c>
      <c r="N129">
        <f t="shared" si="25"/>
        <v>3.7399999999999984</v>
      </c>
      <c r="O129">
        <f t="shared" si="26"/>
        <v>0.47500173280000046</v>
      </c>
    </row>
    <row r="130" spans="1:15" ht="12.75">
      <c r="A130">
        <v>510</v>
      </c>
      <c r="B130">
        <f t="shared" si="23"/>
        <v>4.631268877001459</v>
      </c>
      <c r="C130">
        <v>24381</v>
      </c>
      <c r="D130">
        <v>989</v>
      </c>
      <c r="F130">
        <v>186</v>
      </c>
      <c r="G130">
        <f t="shared" si="24"/>
        <v>0.1935483870967742</v>
      </c>
      <c r="N130">
        <f t="shared" si="25"/>
        <v>3.7499999999999982</v>
      </c>
      <c r="O130">
        <f t="shared" si="26"/>
        <v>0.47166562500000087</v>
      </c>
    </row>
    <row r="134" ht="12.75">
      <c r="A134" t="s">
        <v>22</v>
      </c>
    </row>
    <row r="135" spans="1:15" ht="12.75">
      <c r="A135" t="s">
        <v>0</v>
      </c>
      <c r="B135" t="s">
        <v>1</v>
      </c>
      <c r="C135" t="s">
        <v>2</v>
      </c>
      <c r="D135" t="s">
        <v>3</v>
      </c>
      <c r="E135" t="s">
        <v>4</v>
      </c>
      <c r="F135" t="s">
        <v>5</v>
      </c>
      <c r="G135" t="s">
        <v>6</v>
      </c>
      <c r="N135">
        <v>3.69</v>
      </c>
      <c r="O135">
        <f>0.0263*N135^3-0.2764*N135^2+0.5955*N135+0.7448</f>
        <v>0.5001066167000005</v>
      </c>
    </row>
    <row r="136" spans="1:15" ht="12.75">
      <c r="A136">
        <v>100</v>
      </c>
      <c r="B136">
        <f aca="true" t="shared" si="27" ref="B136:B143">(A136-offset)/gain</f>
        <v>1.020305135522978</v>
      </c>
      <c r="C136">
        <v>114120</v>
      </c>
      <c r="D136">
        <v>1461</v>
      </c>
      <c r="E136">
        <v>5</v>
      </c>
      <c r="F136">
        <v>1425</v>
      </c>
      <c r="G136">
        <f aca="true" t="shared" si="28" ref="G136:G144">(F136+E136)/(D136-14*2)</f>
        <v>0.9979064898813678</v>
      </c>
      <c r="N136">
        <f aca="true" t="shared" si="29" ref="N136:N143">N135+0.01</f>
        <v>3.6999999999999997</v>
      </c>
      <c r="O136">
        <f aca="true" t="shared" si="30" ref="O136:O143">0.0263*N136^3-0.2764*N136^2+0.5955*N136+0.7448</f>
        <v>0.49640790000000024</v>
      </c>
    </row>
    <row r="137" spans="1:15" ht="12.75">
      <c r="A137">
        <v>330</v>
      </c>
      <c r="B137">
        <f t="shared" si="27"/>
        <v>3.0459677222060284</v>
      </c>
      <c r="C137">
        <v>50848</v>
      </c>
      <c r="D137">
        <v>1687</v>
      </c>
      <c r="E137">
        <v>20</v>
      </c>
      <c r="F137">
        <v>1202</v>
      </c>
      <c r="G137">
        <f t="shared" si="28"/>
        <v>0.7365883062085594</v>
      </c>
      <c r="N137">
        <f t="shared" si="29"/>
        <v>3.7099999999999995</v>
      </c>
      <c r="O137">
        <f t="shared" si="30"/>
        <v>0.49271228930000077</v>
      </c>
    </row>
    <row r="138" spans="1:15" ht="12.75">
      <c r="A138">
        <v>360</v>
      </c>
      <c r="B138">
        <f t="shared" si="27"/>
        <v>3.3101845813386</v>
      </c>
      <c r="C138">
        <v>45991</v>
      </c>
      <c r="D138">
        <v>1716</v>
      </c>
      <c r="F138">
        <v>1080</v>
      </c>
      <c r="G138">
        <f t="shared" si="28"/>
        <v>0.6398104265402843</v>
      </c>
      <c r="N138">
        <f t="shared" si="29"/>
        <v>3.7199999999999993</v>
      </c>
      <c r="O138">
        <f t="shared" si="30"/>
        <v>0.4890199424000009</v>
      </c>
    </row>
    <row r="139" spans="1:15" ht="12.75">
      <c r="A139">
        <v>390</v>
      </c>
      <c r="B139">
        <f t="shared" si="27"/>
        <v>3.574401440471172</v>
      </c>
      <c r="C139">
        <v>40432</v>
      </c>
      <c r="D139">
        <v>1645</v>
      </c>
      <c r="F139">
        <v>865</v>
      </c>
      <c r="G139">
        <f t="shared" si="28"/>
        <v>0.5349412492269635</v>
      </c>
      <c r="N139">
        <f t="shared" si="29"/>
        <v>3.729999999999999</v>
      </c>
      <c r="O139">
        <f t="shared" si="30"/>
        <v>0.4853310171000008</v>
      </c>
    </row>
    <row r="140" spans="1:15" ht="12.75">
      <c r="A140">
        <v>420</v>
      </c>
      <c r="B140">
        <f t="shared" si="27"/>
        <v>3.838618299603744</v>
      </c>
      <c r="C140">
        <v>35525</v>
      </c>
      <c r="D140">
        <v>1997</v>
      </c>
      <c r="F140">
        <v>894</v>
      </c>
      <c r="G140">
        <f t="shared" si="28"/>
        <v>0.4540375825292026</v>
      </c>
      <c r="N140">
        <f t="shared" si="29"/>
        <v>3.739999999999999</v>
      </c>
      <c r="O140">
        <f t="shared" si="30"/>
        <v>0.48164567120000157</v>
      </c>
    </row>
    <row r="141" spans="1:15" ht="12.75">
      <c r="A141">
        <v>450</v>
      </c>
      <c r="B141">
        <f t="shared" si="27"/>
        <v>4.102835158736315</v>
      </c>
      <c r="C141">
        <v>31083</v>
      </c>
      <c r="D141">
        <v>1751</v>
      </c>
      <c r="F141">
        <v>586</v>
      </c>
      <c r="G141">
        <f t="shared" si="28"/>
        <v>0.3401044689495067</v>
      </c>
      <c r="N141">
        <f t="shared" si="29"/>
        <v>3.7499999999999987</v>
      </c>
      <c r="O141">
        <f t="shared" si="30"/>
        <v>0.4779640625000011</v>
      </c>
    </row>
    <row r="142" spans="1:15" ht="12.75">
      <c r="A142">
        <v>480</v>
      </c>
      <c r="B142">
        <f t="shared" si="27"/>
        <v>4.367052017868887</v>
      </c>
      <c r="C142">
        <v>27618</v>
      </c>
      <c r="D142">
        <v>1912</v>
      </c>
      <c r="F142">
        <v>495</v>
      </c>
      <c r="G142">
        <f t="shared" si="28"/>
        <v>0.2627388535031847</v>
      </c>
      <c r="N142">
        <f t="shared" si="29"/>
        <v>3.7599999999999985</v>
      </c>
      <c r="O142">
        <f t="shared" si="30"/>
        <v>0.47428634880000053</v>
      </c>
    </row>
    <row r="143" spans="1:15" ht="12.75">
      <c r="A143">
        <v>510</v>
      </c>
      <c r="B143">
        <f t="shared" si="27"/>
        <v>4.631268877001459</v>
      </c>
      <c r="C143">
        <v>23950</v>
      </c>
      <c r="D143">
        <v>1663</v>
      </c>
      <c r="F143">
        <v>336</v>
      </c>
      <c r="G143">
        <f t="shared" si="28"/>
        <v>0.20550458715596331</v>
      </c>
      <c r="N143">
        <f t="shared" si="29"/>
        <v>3.7699999999999982</v>
      </c>
      <c r="O143">
        <f t="shared" si="30"/>
        <v>0.4706126879000009</v>
      </c>
    </row>
    <row r="144" ht="12.75">
      <c r="G144">
        <f t="shared" si="28"/>
        <v>0</v>
      </c>
    </row>
    <row r="148" ht="12.75">
      <c r="A148" t="s">
        <v>23</v>
      </c>
    </row>
    <row r="149" spans="1:15" ht="12.75">
      <c r="A149" t="s">
        <v>0</v>
      </c>
      <c r="B149" t="s">
        <v>1</v>
      </c>
      <c r="C149" t="s">
        <v>2</v>
      </c>
      <c r="D149" t="s">
        <v>3</v>
      </c>
      <c r="E149" t="s">
        <v>4</v>
      </c>
      <c r="F149" t="s">
        <v>5</v>
      </c>
      <c r="G149" t="s">
        <v>6</v>
      </c>
      <c r="N149">
        <v>3.66</v>
      </c>
      <c r="O149">
        <f>0.0808*N149^3-0.8839*N149^2+2.8492*N149-2.0506</f>
        <v>0.4985551567999984</v>
      </c>
    </row>
    <row r="150" spans="1:15" ht="12.75">
      <c r="A150">
        <v>100</v>
      </c>
      <c r="B150">
        <f aca="true" t="shared" si="31" ref="B150:B157">(A150-offset)/gain</f>
        <v>1.020305135522978</v>
      </c>
      <c r="C150">
        <v>114903</v>
      </c>
      <c r="D150">
        <v>1833</v>
      </c>
      <c r="E150">
        <v>15</v>
      </c>
      <c r="F150">
        <v>1771</v>
      </c>
      <c r="G150">
        <f aca="true" t="shared" si="32" ref="G150:G157">(F150+E150)/(D150-14*2)</f>
        <v>0.9894736842105263</v>
      </c>
      <c r="N150">
        <f aca="true" t="shared" si="33" ref="N150:N157">N149+0.01</f>
        <v>3.67</v>
      </c>
      <c r="O150">
        <f aca="true" t="shared" si="34" ref="O150:O157">0.0808*N150^3-0.8839*N150^2+2.8492*N150-2.0506</f>
        <v>0.4948170203999984</v>
      </c>
    </row>
    <row r="151" spans="1:15" ht="12.75">
      <c r="A151">
        <v>330</v>
      </c>
      <c r="B151">
        <f t="shared" si="31"/>
        <v>3.0459677222060284</v>
      </c>
      <c r="C151">
        <v>50275</v>
      </c>
      <c r="D151">
        <v>1828</v>
      </c>
      <c r="F151">
        <v>1280</v>
      </c>
      <c r="G151">
        <f t="shared" si="32"/>
        <v>0.7111111111111111</v>
      </c>
      <c r="N151">
        <f t="shared" si="33"/>
        <v>3.6799999999999997</v>
      </c>
      <c r="O151">
        <f t="shared" si="34"/>
        <v>0.4910800256000014</v>
      </c>
    </row>
    <row r="152" spans="1:15" ht="12.75">
      <c r="A152">
        <v>360</v>
      </c>
      <c r="B152">
        <f t="shared" si="31"/>
        <v>3.3101845813386</v>
      </c>
      <c r="C152">
        <v>45717</v>
      </c>
      <c r="D152">
        <v>1990</v>
      </c>
      <c r="F152">
        <v>1223</v>
      </c>
      <c r="G152">
        <f t="shared" si="32"/>
        <v>0.6233435270132518</v>
      </c>
      <c r="N152">
        <f t="shared" si="33"/>
        <v>3.6899999999999995</v>
      </c>
      <c r="O152">
        <f t="shared" si="34"/>
        <v>0.4873446572000013</v>
      </c>
    </row>
    <row r="153" spans="1:15" ht="12.75">
      <c r="A153">
        <v>390</v>
      </c>
      <c r="B153">
        <f t="shared" si="31"/>
        <v>3.574401440471172</v>
      </c>
      <c r="C153">
        <v>40137</v>
      </c>
      <c r="D153">
        <v>1975</v>
      </c>
      <c r="F153">
        <v>1043</v>
      </c>
      <c r="G153">
        <f t="shared" si="32"/>
        <v>0.5356959424756035</v>
      </c>
      <c r="N153">
        <f t="shared" si="33"/>
        <v>3.6999999999999993</v>
      </c>
      <c r="O153">
        <f t="shared" si="34"/>
        <v>0.4836114000000018</v>
      </c>
    </row>
    <row r="154" spans="1:15" ht="12.75">
      <c r="A154">
        <v>420</v>
      </c>
      <c r="B154">
        <f t="shared" si="31"/>
        <v>3.838618299603744</v>
      </c>
      <c r="C154">
        <v>35383</v>
      </c>
      <c r="D154">
        <v>1953</v>
      </c>
      <c r="F154">
        <v>829</v>
      </c>
      <c r="G154">
        <f t="shared" si="32"/>
        <v>0.43064935064935067</v>
      </c>
      <c r="N154">
        <f t="shared" si="33"/>
        <v>3.709999999999999</v>
      </c>
      <c r="O154">
        <f t="shared" si="34"/>
        <v>0.47988073880000126</v>
      </c>
    </row>
    <row r="155" spans="1:15" ht="12.75">
      <c r="A155">
        <v>450</v>
      </c>
      <c r="B155">
        <f t="shared" si="31"/>
        <v>4.102835158736315</v>
      </c>
      <c r="C155">
        <v>31076</v>
      </c>
      <c r="D155">
        <v>2060</v>
      </c>
      <c r="F155">
        <v>682</v>
      </c>
      <c r="G155">
        <f t="shared" si="32"/>
        <v>0.33562992125984253</v>
      </c>
      <c r="N155">
        <f t="shared" si="33"/>
        <v>3.719999999999999</v>
      </c>
      <c r="O155">
        <f t="shared" si="34"/>
        <v>0.4761531584000016</v>
      </c>
    </row>
    <row r="156" spans="1:15" ht="12.75">
      <c r="A156">
        <v>480</v>
      </c>
      <c r="B156">
        <f t="shared" si="31"/>
        <v>4.367052017868887</v>
      </c>
      <c r="C156">
        <v>26862</v>
      </c>
      <c r="D156">
        <v>2010</v>
      </c>
      <c r="F156">
        <v>534</v>
      </c>
      <c r="G156">
        <f t="shared" si="32"/>
        <v>0.2694248234106963</v>
      </c>
      <c r="N156">
        <f t="shared" si="33"/>
        <v>3.7299999999999986</v>
      </c>
      <c r="O156">
        <f t="shared" si="34"/>
        <v>0.4724291436000003</v>
      </c>
    </row>
    <row r="157" spans="1:15" ht="12.75">
      <c r="A157">
        <v>510</v>
      </c>
      <c r="B157">
        <f t="shared" si="31"/>
        <v>4.631268877001459</v>
      </c>
      <c r="C157">
        <v>23723</v>
      </c>
      <c r="D157">
        <v>1921</v>
      </c>
      <c r="F157">
        <v>399</v>
      </c>
      <c r="G157">
        <f t="shared" si="32"/>
        <v>0.21077654516640254</v>
      </c>
      <c r="N157">
        <f t="shared" si="33"/>
        <v>3.7399999999999984</v>
      </c>
      <c r="O157">
        <f t="shared" si="34"/>
        <v>0.4687091792000002</v>
      </c>
    </row>
    <row r="162" spans="14:15" ht="12.75">
      <c r="N162">
        <v>3.29</v>
      </c>
      <c r="O162">
        <f>0.1163*N162^3-1.1402*N162^2+3.3369*N162-2.28</f>
        <v>0.49835509070000006</v>
      </c>
    </row>
    <row r="163" spans="14:15" ht="12.75">
      <c r="N163">
        <f aca="true" t="shared" si="35" ref="N163:N170">N162+0.01</f>
        <v>3.3</v>
      </c>
      <c r="O163">
        <f aca="true" t="shared" si="36" ref="O163:O170">0.1163*N163^3-1.1402*N163^2+3.3369*N163-2.28</f>
        <v>0.49446510000000066</v>
      </c>
    </row>
    <row r="164" spans="14:15" ht="12.75">
      <c r="N164">
        <f t="shared" si="35"/>
        <v>3.3099999999999996</v>
      </c>
      <c r="O164">
        <f t="shared" si="36"/>
        <v>0.4905773432999996</v>
      </c>
    </row>
    <row r="165" spans="14:15" ht="12.75">
      <c r="N165">
        <f t="shared" si="35"/>
        <v>3.3199999999999994</v>
      </c>
      <c r="O165">
        <f t="shared" si="36"/>
        <v>0.4866925183999995</v>
      </c>
    </row>
    <row r="166" spans="14:15" ht="12.75">
      <c r="N166">
        <f t="shared" si="35"/>
        <v>3.329999999999999</v>
      </c>
      <c r="O166">
        <f t="shared" si="36"/>
        <v>0.4828113230999995</v>
      </c>
    </row>
    <row r="167" spans="14:15" ht="12.75">
      <c r="N167">
        <f t="shared" si="35"/>
        <v>3.339999999999999</v>
      </c>
      <c r="O167">
        <f t="shared" si="36"/>
        <v>0.4789344551999988</v>
      </c>
    </row>
    <row r="168" spans="14:15" ht="12.75">
      <c r="N168">
        <f t="shared" si="35"/>
        <v>3.3499999999999988</v>
      </c>
      <c r="O168">
        <f t="shared" si="36"/>
        <v>0.4750626124999999</v>
      </c>
    </row>
    <row r="169" spans="14:15" ht="12.75">
      <c r="N169">
        <f t="shared" si="35"/>
        <v>3.3599999999999985</v>
      </c>
      <c r="O169">
        <f t="shared" si="36"/>
        <v>0.4711964928000003</v>
      </c>
    </row>
    <row r="170" spans="14:15" ht="12.75">
      <c r="N170">
        <f t="shared" si="35"/>
        <v>3.3699999999999983</v>
      </c>
      <c r="O170">
        <f t="shared" si="36"/>
        <v>0.46733679389999905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5"/>
  <sheetViews>
    <sheetView workbookViewId="0" topLeftCell="A32">
      <selection activeCell="B65" sqref="B65:C65"/>
    </sheetView>
  </sheetViews>
  <sheetFormatPr defaultColWidth="9.140625" defaultRowHeight="12.75"/>
  <sheetData>
    <row r="2" spans="1:3" ht="12.75">
      <c r="A2">
        <v>1</v>
      </c>
      <c r="B2">
        <v>116.008</v>
      </c>
      <c r="C2">
        <v>-14.984</v>
      </c>
    </row>
    <row r="3" spans="1:3" ht="12.75">
      <c r="A3">
        <v>2</v>
      </c>
      <c r="B3">
        <v>114.989</v>
      </c>
      <c r="C3">
        <v>-22.481</v>
      </c>
    </row>
    <row r="4" spans="1:3" ht="12.75">
      <c r="A4">
        <v>3</v>
      </c>
      <c r="B4">
        <v>112.744</v>
      </c>
      <c r="C4">
        <v>-20.355</v>
      </c>
    </row>
    <row r="5" spans="1:3" ht="12.75">
      <c r="A5">
        <v>4</v>
      </c>
      <c r="B5">
        <v>113.698</v>
      </c>
      <c r="C5">
        <v>-20.265</v>
      </c>
    </row>
    <row r="6" spans="1:3" ht="12.75">
      <c r="A6">
        <v>5</v>
      </c>
      <c r="B6">
        <v>113.609</v>
      </c>
      <c r="C6">
        <v>-16.789</v>
      </c>
    </row>
    <row r="7" spans="1:3" ht="12.75">
      <c r="A7">
        <v>6</v>
      </c>
      <c r="B7">
        <v>113.655</v>
      </c>
      <c r="C7">
        <v>-13.35</v>
      </c>
    </row>
    <row r="8" spans="1:3" ht="12.75">
      <c r="A8">
        <v>7</v>
      </c>
      <c r="B8">
        <v>116.89</v>
      </c>
      <c r="C8">
        <v>-18.913</v>
      </c>
    </row>
    <row r="9" spans="1:3" ht="12.75">
      <c r="A9">
        <v>8</v>
      </c>
      <c r="B9">
        <v>113.866</v>
      </c>
      <c r="C9">
        <v>-14.389</v>
      </c>
    </row>
    <row r="10" spans="1:3" ht="12.75">
      <c r="A10">
        <v>9</v>
      </c>
      <c r="B10">
        <v>112.061</v>
      </c>
      <c r="C10">
        <v>-17.356</v>
      </c>
    </row>
    <row r="11" spans="1:3" ht="12.75">
      <c r="A11">
        <v>10</v>
      </c>
      <c r="B11">
        <v>114.353</v>
      </c>
      <c r="C11">
        <v>-16.402</v>
      </c>
    </row>
    <row r="12" spans="1:3" ht="12.75">
      <c r="A12">
        <v>11</v>
      </c>
      <c r="B12">
        <v>113.408</v>
      </c>
      <c r="C12">
        <v>-12.302</v>
      </c>
    </row>
    <row r="13" spans="1:3" ht="12.75">
      <c r="A13">
        <v>12</v>
      </c>
      <c r="B13">
        <v>114.54</v>
      </c>
      <c r="C13">
        <v>-16.281</v>
      </c>
    </row>
    <row r="14" spans="1:3" ht="12.75">
      <c r="A14">
        <v>13</v>
      </c>
      <c r="B14">
        <v>113.059</v>
      </c>
      <c r="C14">
        <v>-15.855</v>
      </c>
    </row>
    <row r="15" spans="1:3" ht="12.75">
      <c r="A15">
        <v>14</v>
      </c>
      <c r="B15">
        <v>112.02</v>
      </c>
      <c r="C15">
        <v>-20.665</v>
      </c>
    </row>
    <row r="16" spans="1:3" ht="12.75">
      <c r="A16">
        <v>15</v>
      </c>
      <c r="B16">
        <v>111.692</v>
      </c>
      <c r="C16">
        <v>-16.664</v>
      </c>
    </row>
    <row r="17" spans="1:3" ht="12.75">
      <c r="A17">
        <v>16</v>
      </c>
      <c r="B17">
        <v>113.023</v>
      </c>
      <c r="C17">
        <v>-23.676</v>
      </c>
    </row>
    <row r="18" spans="1:3" ht="12.75">
      <c r="A18">
        <v>17</v>
      </c>
      <c r="B18">
        <v>116.097</v>
      </c>
      <c r="C18">
        <v>-15.916</v>
      </c>
    </row>
    <row r="19" spans="1:3" ht="12.75">
      <c r="A19">
        <v>18</v>
      </c>
      <c r="B19">
        <v>114.761</v>
      </c>
      <c r="C19">
        <v>-9.013</v>
      </c>
    </row>
    <row r="20" spans="1:3" ht="12.75">
      <c r="A20">
        <v>19</v>
      </c>
      <c r="B20">
        <v>114.621</v>
      </c>
      <c r="C20">
        <v>-18.997</v>
      </c>
    </row>
    <row r="21" spans="1:3" ht="12.75">
      <c r="A21">
        <v>20</v>
      </c>
      <c r="B21">
        <v>115.324</v>
      </c>
      <c r="C21">
        <v>-12.461</v>
      </c>
    </row>
    <row r="22" spans="1:3" ht="12.75">
      <c r="A22">
        <v>21</v>
      </c>
      <c r="B22">
        <v>113.925</v>
      </c>
      <c r="C22">
        <v>-12.032</v>
      </c>
    </row>
    <row r="23" spans="1:3" ht="12.75">
      <c r="A23">
        <v>22</v>
      </c>
      <c r="B23">
        <v>112.934</v>
      </c>
      <c r="C23">
        <v>-16.033</v>
      </c>
    </row>
    <row r="24" spans="1:3" ht="12.75">
      <c r="A24">
        <v>23</v>
      </c>
      <c r="B24">
        <v>117.98</v>
      </c>
      <c r="C24">
        <v>-15.496</v>
      </c>
    </row>
    <row r="25" spans="1:3" ht="12.75">
      <c r="A25">
        <v>24</v>
      </c>
      <c r="B25">
        <v>113.006</v>
      </c>
      <c r="C25">
        <v>-19.141</v>
      </c>
    </row>
    <row r="26" spans="1:3" ht="12.75">
      <c r="A26">
        <v>25</v>
      </c>
      <c r="B26">
        <v>114.043</v>
      </c>
      <c r="C26">
        <v>-25.077</v>
      </c>
    </row>
    <row r="27" spans="1:3" ht="12.75">
      <c r="A27">
        <v>26</v>
      </c>
      <c r="B27">
        <v>109.292</v>
      </c>
      <c r="C27">
        <v>-15.516</v>
      </c>
    </row>
    <row r="28" spans="1:3" ht="12.75">
      <c r="A28">
        <v>27</v>
      </c>
      <c r="B28">
        <v>115.503</v>
      </c>
      <c r="C28">
        <v>-20.989</v>
      </c>
    </row>
    <row r="29" spans="1:3" ht="12.75">
      <c r="A29">
        <v>28</v>
      </c>
      <c r="B29">
        <v>113.336</v>
      </c>
      <c r="C29">
        <v>-10.924</v>
      </c>
    </row>
    <row r="30" spans="1:3" ht="12.75">
      <c r="A30">
        <v>29</v>
      </c>
      <c r="B30">
        <v>115.274</v>
      </c>
      <c r="C30">
        <v>-19.709</v>
      </c>
    </row>
    <row r="31" spans="1:3" ht="12.75">
      <c r="A31">
        <v>30</v>
      </c>
      <c r="B31">
        <v>111.589</v>
      </c>
      <c r="C31">
        <v>-10.729</v>
      </c>
    </row>
    <row r="32" spans="1:3" ht="12.75">
      <c r="A32">
        <v>31</v>
      </c>
      <c r="B32">
        <v>113.611</v>
      </c>
      <c r="C32">
        <v>-10.537</v>
      </c>
    </row>
    <row r="33" spans="1:3" ht="12.75">
      <c r="A33">
        <v>32</v>
      </c>
      <c r="B33">
        <v>111.454</v>
      </c>
      <c r="C33">
        <v>-23.579</v>
      </c>
    </row>
    <row r="34" spans="1:3" ht="12.75">
      <c r="A34">
        <v>33</v>
      </c>
      <c r="B34">
        <v>112.665</v>
      </c>
      <c r="C34">
        <v>-17.983</v>
      </c>
    </row>
    <row r="35" spans="1:3" ht="12.75">
      <c r="A35">
        <v>34</v>
      </c>
      <c r="B35">
        <v>109.672</v>
      </c>
      <c r="C35">
        <v>-20.208</v>
      </c>
    </row>
    <row r="36" spans="1:3" ht="12.75">
      <c r="A36">
        <v>35</v>
      </c>
      <c r="B36">
        <v>113.656</v>
      </c>
      <c r="C36">
        <v>-7.987</v>
      </c>
    </row>
    <row r="37" spans="1:3" ht="12.75">
      <c r="A37">
        <v>36</v>
      </c>
      <c r="B37">
        <v>114.809</v>
      </c>
      <c r="C37">
        <v>-17.032</v>
      </c>
    </row>
    <row r="38" spans="1:3" ht="12.75">
      <c r="A38">
        <v>37</v>
      </c>
      <c r="B38">
        <v>114.828</v>
      </c>
      <c r="C38">
        <v>-10.705</v>
      </c>
    </row>
    <row r="39" spans="1:3" ht="12.75">
      <c r="A39">
        <v>38</v>
      </c>
      <c r="B39">
        <v>117.13</v>
      </c>
      <c r="C39">
        <v>-16.611</v>
      </c>
    </row>
    <row r="40" spans="1:3" ht="12.75">
      <c r="A40">
        <v>39</v>
      </c>
      <c r="B40">
        <v>114.133</v>
      </c>
      <c r="C40">
        <v>-14.994</v>
      </c>
    </row>
    <row r="41" spans="1:3" ht="12.75">
      <c r="A41">
        <v>40</v>
      </c>
      <c r="B41">
        <v>114.06</v>
      </c>
      <c r="C41">
        <v>-11.406</v>
      </c>
    </row>
    <row r="42" spans="1:3" ht="12.75">
      <c r="A42">
        <v>41</v>
      </c>
      <c r="B42">
        <v>109.666</v>
      </c>
      <c r="C42">
        <v>-22.68</v>
      </c>
    </row>
    <row r="43" spans="1:3" ht="12.75">
      <c r="A43">
        <v>42</v>
      </c>
      <c r="B43">
        <v>112.669</v>
      </c>
      <c r="C43">
        <v>-12.777</v>
      </c>
    </row>
    <row r="44" spans="1:3" ht="12.75">
      <c r="A44">
        <v>43</v>
      </c>
      <c r="B44">
        <v>114.772</v>
      </c>
      <c r="C44">
        <v>-19.777</v>
      </c>
    </row>
    <row r="45" spans="1:3" ht="12.75">
      <c r="A45">
        <v>44</v>
      </c>
      <c r="B45">
        <v>115.118</v>
      </c>
      <c r="C45">
        <v>-8.962</v>
      </c>
    </row>
    <row r="46" spans="1:3" ht="12.75">
      <c r="A46">
        <v>45</v>
      </c>
      <c r="B46">
        <v>113.423</v>
      </c>
      <c r="C46">
        <v>-16.406</v>
      </c>
    </row>
    <row r="47" spans="1:3" ht="12.75">
      <c r="A47">
        <v>46</v>
      </c>
      <c r="B47">
        <v>111.873</v>
      </c>
      <c r="C47">
        <v>-11.738</v>
      </c>
    </row>
    <row r="48" spans="1:3" ht="12.75">
      <c r="A48">
        <v>47</v>
      </c>
      <c r="B48">
        <v>111.926</v>
      </c>
      <c r="C48">
        <v>-13.633</v>
      </c>
    </row>
    <row r="49" spans="1:3" ht="12.75">
      <c r="A49">
        <v>48</v>
      </c>
      <c r="B49">
        <v>112.138</v>
      </c>
      <c r="C49">
        <v>-19.307</v>
      </c>
    </row>
    <row r="50" spans="1:3" ht="12.75">
      <c r="A50">
        <v>49</v>
      </c>
      <c r="B50">
        <v>111.633</v>
      </c>
      <c r="C50">
        <v>-7.757</v>
      </c>
    </row>
    <row r="51" spans="1:3" ht="12.75">
      <c r="A51">
        <v>50</v>
      </c>
      <c r="B51">
        <v>112.758</v>
      </c>
      <c r="C51">
        <v>-4.236</v>
      </c>
    </row>
    <row r="52" spans="1:3" ht="12.75">
      <c r="A52">
        <v>51</v>
      </c>
      <c r="B52">
        <v>111.938</v>
      </c>
      <c r="C52">
        <v>-14.507</v>
      </c>
    </row>
    <row r="53" spans="1:3" ht="12.75">
      <c r="A53">
        <v>52</v>
      </c>
      <c r="B53">
        <v>112.584</v>
      </c>
      <c r="C53">
        <v>-14.182</v>
      </c>
    </row>
    <row r="54" spans="1:3" ht="12.75">
      <c r="A54">
        <v>53</v>
      </c>
      <c r="B54">
        <v>113.366</v>
      </c>
      <c r="C54">
        <v>-9.188</v>
      </c>
    </row>
    <row r="55" spans="1:3" ht="12.75">
      <c r="A55">
        <v>54</v>
      </c>
      <c r="B55">
        <v>109.934</v>
      </c>
      <c r="C55">
        <v>-10.962</v>
      </c>
    </row>
    <row r="56" spans="1:3" ht="12.75">
      <c r="A56">
        <v>55</v>
      </c>
      <c r="B56">
        <v>115.08</v>
      </c>
      <c r="C56">
        <v>-26.88</v>
      </c>
    </row>
    <row r="57" spans="1:3" ht="12.75">
      <c r="A57">
        <v>56</v>
      </c>
      <c r="B57">
        <v>112.841</v>
      </c>
      <c r="C57">
        <v>-19.074</v>
      </c>
    </row>
    <row r="58" spans="1:3" ht="12.75">
      <c r="A58">
        <v>57</v>
      </c>
      <c r="B58">
        <v>113.464</v>
      </c>
      <c r="C58">
        <v>-15.406</v>
      </c>
    </row>
    <row r="59" spans="1:3" ht="12.75">
      <c r="A59">
        <v>58</v>
      </c>
      <c r="B59">
        <v>113.133</v>
      </c>
      <c r="C59">
        <v>-10.999</v>
      </c>
    </row>
    <row r="60" spans="1:3" ht="12.75">
      <c r="A60">
        <v>59</v>
      </c>
      <c r="B60">
        <v>113.715</v>
      </c>
      <c r="C60">
        <v>-28.046</v>
      </c>
    </row>
    <row r="61" spans="1:3" ht="12.75">
      <c r="A61">
        <v>60</v>
      </c>
      <c r="B61">
        <v>115.333</v>
      </c>
      <c r="C61">
        <v>-20.245</v>
      </c>
    </row>
    <row r="62" spans="1:3" ht="12.75">
      <c r="A62">
        <v>61</v>
      </c>
      <c r="B62">
        <v>118.144</v>
      </c>
      <c r="C62">
        <v>-13.198</v>
      </c>
    </row>
    <row r="63" spans="1:3" ht="12.75">
      <c r="A63">
        <v>62</v>
      </c>
      <c r="B63">
        <v>110.475</v>
      </c>
      <c r="C63">
        <v>-11.486</v>
      </c>
    </row>
    <row r="64" spans="1:3" ht="12.75">
      <c r="A64">
        <v>63</v>
      </c>
      <c r="B64">
        <v>113.914</v>
      </c>
      <c r="C64">
        <v>-13.214</v>
      </c>
    </row>
    <row r="65" spans="2:3" ht="12.75">
      <c r="B65">
        <f>SUM(B2:B64)/63</f>
        <v>113.54309523809526</v>
      </c>
      <c r="C65">
        <f>SUM(C2:C64)/63</f>
        <v>-15.848603174603172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1996-10-14T23:33:28Z</dcterms:created>
  <dcterms:modified xsi:type="dcterms:W3CDTF">2007-04-06T21:47:56Z</dcterms:modified>
  <cp:category/>
  <cp:version/>
  <cp:contentType/>
  <cp:contentStatus/>
</cp:coreProperties>
</file>