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9576" windowHeight="8316" tabRatio="601" activeTab="3"/>
  </bookViews>
  <sheets>
    <sheet name="summary" sheetId="1" r:id="rId1"/>
    <sheet name="summary2" sheetId="2" r:id="rId2"/>
    <sheet name="10min anneal" sheetId="3" r:id="rId3"/>
    <sheet name="10min anneal (2)" sheetId="4" r:id="rId4"/>
    <sheet name="pre-anneal" sheetId="5" r:id="rId5"/>
    <sheet name="Calibration" sheetId="6" r:id="rId6"/>
  </sheets>
  <externalReferences>
    <externalReference r:id="rId9"/>
  </externalReferences>
  <definedNames>
    <definedName name="corr" localSheetId="2">'10min anneal'!$H$3</definedName>
    <definedName name="corr" localSheetId="3">'10min anneal (2)'!$H$3</definedName>
    <definedName name="corr">'pre-anneal'!$H$3</definedName>
    <definedName name="corr10" localSheetId="3">'10min anneal (2)'!$H$3</definedName>
    <definedName name="corr10">'10min anneal'!$H$3</definedName>
    <definedName name="corr2" localSheetId="3">'10min anneal (2)'!$H$4</definedName>
    <definedName name="corr2">'10min anneal'!$H$4</definedName>
    <definedName name="corr5">#REF!</definedName>
    <definedName name="gain" localSheetId="2">'10min anneal'!#REF!</definedName>
    <definedName name="gain" localSheetId="3">'10min anneal (2)'!#REF!</definedName>
    <definedName name="gain">'pre-anneal'!#REF!</definedName>
    <definedName name="gain1" localSheetId="2">'10min anneal'!$C$3</definedName>
    <definedName name="gain1" localSheetId="3">'10min anneal (2)'!$C$3</definedName>
    <definedName name="gain1">'pre-anneal'!$C$3</definedName>
    <definedName name="offset" localSheetId="2">'10min anneal'!#REF!</definedName>
    <definedName name="offset" localSheetId="3">'10min anneal (2)'!#REF!</definedName>
    <definedName name="offset">'pre-anneal'!#REF!</definedName>
    <definedName name="offset1" localSheetId="2">'10min anneal'!$E$3</definedName>
    <definedName name="offset1" localSheetId="3">'10min anneal (2)'!$E$3</definedName>
    <definedName name="offset1">'pre-anneal'!$E$3</definedName>
    <definedName name="t0">'summary2'!$D$1</definedName>
  </definedNames>
  <calcPr fullCalcOnLoad="1"/>
</workbook>
</file>

<file path=xl/sharedStrings.xml><?xml version="1.0" encoding="utf-8"?>
<sst xmlns="http://schemas.openxmlformats.org/spreadsheetml/2006/main" count="341" uniqueCount="51">
  <si>
    <t>V_thresh</t>
  </si>
  <si>
    <t>Q_thresh</t>
  </si>
  <si>
    <t>non_zero</t>
  </si>
  <si>
    <t>zero</t>
  </si>
  <si>
    <t>missing</t>
  </si>
  <si>
    <t>coin</t>
  </si>
  <si>
    <t>corr_eff</t>
  </si>
  <si>
    <t xml:space="preserve"> </t>
  </si>
  <si>
    <t>Vrev = 250</t>
  </si>
  <si>
    <t>pre anneal</t>
  </si>
  <si>
    <t>med Q</t>
  </si>
  <si>
    <t>Vrev = 200</t>
  </si>
  <si>
    <t>Vrev = 400</t>
  </si>
  <si>
    <t xml:space="preserve">Voltage </t>
  </si>
  <si>
    <t>eff at 1fC</t>
  </si>
  <si>
    <t xml:space="preserve">correction from sorce displacement: </t>
  </si>
  <si>
    <t>5 min anneal</t>
  </si>
  <si>
    <t>80 min anneal</t>
  </si>
  <si>
    <t>anneal time</t>
  </si>
  <si>
    <t>voltage</t>
  </si>
  <si>
    <t>10000 min anneal</t>
  </si>
  <si>
    <t>V thresh</t>
  </si>
  <si>
    <t>Q1 thresh</t>
  </si>
  <si>
    <t xml:space="preserve">I = </t>
  </si>
  <si>
    <t>Vrev = 300</t>
  </si>
  <si>
    <t>Vrev = 350</t>
  </si>
  <si>
    <t>T= -20 C</t>
  </si>
  <si>
    <t>Vrev = 450</t>
  </si>
  <si>
    <t>Vrev = 500</t>
  </si>
  <si>
    <t>V = 300V</t>
  </si>
  <si>
    <t>10 min anneal</t>
  </si>
  <si>
    <t>2 fC</t>
  </si>
  <si>
    <t>200V</t>
  </si>
  <si>
    <t>Calibration done at -20 C</t>
  </si>
  <si>
    <t>150V</t>
  </si>
  <si>
    <t xml:space="preserve">p-type detector '64-4' neutron irradiated </t>
  </si>
  <si>
    <t>gain = 115.2731</t>
  </si>
  <si>
    <t>offset = -12.1346</t>
  </si>
  <si>
    <t>IV curve</t>
  </si>
  <si>
    <t>current</t>
  </si>
  <si>
    <t>Vrev = 150</t>
  </si>
  <si>
    <t>Vrev = 170</t>
  </si>
  <si>
    <t>Vrev = 600</t>
  </si>
  <si>
    <t>Vrev = 700</t>
  </si>
  <si>
    <t>Vrev = 800</t>
  </si>
  <si>
    <t>Vrev = 900</t>
  </si>
  <si>
    <t>Vrev = 1000</t>
  </si>
  <si>
    <t>I (-22C)</t>
  </si>
  <si>
    <t>V</t>
  </si>
  <si>
    <t>Calibration 2 -20, -70V</t>
  </si>
  <si>
    <t>Q2 thresh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</si>
</sst>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1.2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vertAlign val="superscript"/>
      <sz val="8"/>
      <name val="Arial"/>
      <family val="0"/>
    </font>
    <font>
      <vertAlign val="superscript"/>
      <sz val="8.25"/>
      <name val="Arial"/>
      <family val="0"/>
    </font>
    <font>
      <vertAlign val="superscript"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66"/>
          <c:w val="0.88425"/>
          <c:h val="0.85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summary!$A$6:$A$14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summary!$A$20:$A$30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summary!$A$32</c:f>
              <c:strCache>
                <c:ptCount val="1"/>
                <c:pt idx="0">
                  <c:v>10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summary!$A$36:$A$49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summary!$C$36:$C$49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summary!$E$17</c:f>
              <c:strCache>
                <c:ptCount val="1"/>
                <c:pt idx="0">
                  <c:v>80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summary!$E$21:$E$29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summary!$G$21:$G$29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10000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4659729"/>
        <c:axId val="45066650"/>
      </c:scatterChart>
      <c:valAx>
        <c:axId val="646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6650"/>
        <c:crosses val="autoZero"/>
        <c:crossBetween val="midCat"/>
        <c:dispUnits/>
      </c:valAx>
      <c:valAx>
        <c:axId val="4506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59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3125"/>
          <c:y val="0.514"/>
          <c:w val="0.24925"/>
          <c:h val="0.29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'10min anneal'!$A$100</c:f>
              <c:strCache>
                <c:ptCount val="1"/>
                <c:pt idx="0">
                  <c:v>Vrev =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anneal'!$B$106:$B$107</c:f>
              <c:numCache/>
            </c:numRef>
          </c:xVal>
          <c:yVal>
            <c:numRef>
              <c:f>'10min anneal'!$G$106:$G$107</c:f>
              <c:numCache/>
            </c:numRef>
          </c:yVal>
          <c:smooth val="1"/>
        </c:ser>
        <c:axId val="19127739"/>
        <c:axId val="37931924"/>
      </c:scatterChart>
      <c:val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1924"/>
        <c:crosses val="autoZero"/>
        <c:crossBetween val="midCat"/>
        <c:dispUnits/>
      </c:valAx>
      <c:valAx>
        <c:axId val="3793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77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'10min anneal'!$A$112</c:f>
              <c:strCache>
                <c:ptCount val="1"/>
                <c:pt idx="0">
                  <c:v>Vrev = 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anneal'!$B$117:$B$118</c:f>
              <c:numCache/>
            </c:numRef>
          </c:xVal>
          <c:yVal>
            <c:numRef>
              <c:f>'10min anneal'!$G$117:$G$118</c:f>
              <c:numCache/>
            </c:numRef>
          </c:yVal>
          <c:smooth val="1"/>
        </c:ser>
        <c:axId val="5842997"/>
        <c:axId val="52586974"/>
      </c:scatterChart>
      <c:val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86974"/>
        <c:crosses val="autoZero"/>
        <c:crossBetween val="midCat"/>
        <c:dispUnits/>
      </c:valAx>
      <c:valAx>
        <c:axId val="5258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975"/>
          <c:w val="0.8915"/>
          <c:h val="0.7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anneal'!$A$124</c:f>
              <c:strCache>
                <c:ptCount val="1"/>
                <c:pt idx="0">
                  <c:v>Vrev = 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anneal'!$B$128:$B$131</c:f>
              <c:numCache/>
            </c:numRef>
          </c:xVal>
          <c:yVal>
            <c:numRef>
              <c:f>'10min anneal'!$G$128:$G$131</c:f>
              <c:numCache/>
            </c:numRef>
          </c:yVal>
          <c:smooth val="1"/>
        </c:ser>
        <c:axId val="3520719"/>
        <c:axId val="31686472"/>
      </c:scatterChart>
      <c:valAx>
        <c:axId val="352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6472"/>
        <c:crosses val="autoZero"/>
        <c:crossBetween val="midCat"/>
        <c:dispUnits/>
      </c:valAx>
      <c:valAx>
        <c:axId val="31686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25"/>
          <c:w val="0.8905"/>
          <c:h val="0.69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anneal'!$A$82</c:f>
              <c:strCache>
                <c:ptCount val="1"/>
                <c:pt idx="0">
                  <c:v>Vrev =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anneal'!$B$86:$B$88</c:f>
              <c:numCache/>
            </c:numRef>
          </c:xVal>
          <c:yVal>
            <c:numRef>
              <c:f>'10min anneal'!$G$86:$G$88</c:f>
              <c:numCache/>
            </c:numRef>
          </c:yVal>
          <c:smooth val="1"/>
        </c:ser>
        <c:axId val="16742793"/>
        <c:axId val="16467410"/>
      </c:scatterChart>
      <c:valAx>
        <c:axId val="16742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7410"/>
        <c:crosses val="autoZero"/>
        <c:crossBetween val="midCat"/>
        <c:dispUnits/>
      </c:valAx>
      <c:valAx>
        <c:axId val="16467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27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64-4 10 min anneal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'10min anneal'!$L$5:$L$11</c:f>
              <c:numCache/>
            </c:numRef>
          </c:xVal>
          <c:yVal>
            <c:numRef>
              <c:f>'10min anneal'!$N$5:$N$11</c:f>
              <c:numCache/>
            </c:numRef>
          </c:yVal>
          <c:smooth val="1"/>
        </c:ser>
        <c:axId val="13988963"/>
        <c:axId val="58791804"/>
      </c:scatterChart>
      <c:valAx>
        <c:axId val="1398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1804"/>
        <c:crosses val="autoZero"/>
        <c:crossBetween val="midCat"/>
        <c:dispUnits/>
      </c:valAx>
      <c:valAx>
        <c:axId val="58791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88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975"/>
          <c:w val="0.8967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(2)'!$A$19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(2)'!$B$22:$B$24</c:f>
              <c:numCache/>
            </c:numRef>
          </c:xVal>
          <c:yVal>
            <c:numRef>
              <c:f>'10min anneal (2)'!$G$22:$G$24</c:f>
              <c:numCache/>
            </c:numRef>
          </c:yVal>
          <c:smooth val="1"/>
        </c:ser>
        <c:axId val="59364189"/>
        <c:axId val="64515654"/>
      </c:scatterChart>
      <c:valAx>
        <c:axId val="5936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15654"/>
        <c:crosses val="autoZero"/>
        <c:crossBetween val="midCat"/>
        <c:dispUnits/>
      </c:valAx>
      <c:valAx>
        <c:axId val="645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4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2"/>
          <c:w val="0.894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(2)'!$A$29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(2)'!$B$32:$B$38</c:f>
              <c:numCache/>
            </c:numRef>
          </c:xVal>
          <c:yVal>
            <c:numRef>
              <c:f>'10min anneal (2)'!$G$32:$G$38</c:f>
              <c:numCache/>
            </c:numRef>
          </c:yVal>
          <c:smooth val="1"/>
        </c:ser>
        <c:axId val="43769975"/>
        <c:axId val="58385456"/>
      </c:scatterChart>
      <c:valAx>
        <c:axId val="43769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85456"/>
        <c:crosses val="autoZero"/>
        <c:crossBetween val="midCat"/>
        <c:dispUnits/>
      </c:valAx>
      <c:valAx>
        <c:axId val="583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699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75"/>
          <c:w val="0.896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(2)'!$A$40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(2)'!$B$43:$B$49</c:f>
              <c:numCache/>
            </c:numRef>
          </c:xVal>
          <c:yVal>
            <c:numRef>
              <c:f>'10min anneal (2)'!$G$43:$G$49</c:f>
              <c:numCache/>
            </c:numRef>
          </c:yVal>
          <c:smooth val="1"/>
        </c:ser>
        <c:axId val="55707057"/>
        <c:axId val="31601466"/>
      </c:scatterChart>
      <c:valAx>
        <c:axId val="5570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1466"/>
        <c:crosses val="autoZero"/>
        <c:crossBetween val="midCat"/>
        <c:dispUnits/>
      </c:valAx>
      <c:valAx>
        <c:axId val="3160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070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175"/>
          <c:w val="0.8957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(2)'!$A$52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(2)'!$B$55:$B$58</c:f>
              <c:numCache/>
            </c:numRef>
          </c:xVal>
          <c:yVal>
            <c:numRef>
              <c:f>'10min anneal (2)'!$G$55:$G$58</c:f>
              <c:numCache/>
            </c:numRef>
          </c:yVal>
          <c:smooth val="1"/>
        </c:ser>
        <c:axId val="15977739"/>
        <c:axId val="9581924"/>
      </c:scatterChart>
      <c:valAx>
        <c:axId val="1597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1924"/>
        <c:crosses val="autoZero"/>
        <c:crossBetween val="midCat"/>
        <c:dispUnits/>
      </c:valAx>
      <c:valAx>
        <c:axId val="958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77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5225"/>
          <c:h val="0.81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(2)'!$A$67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(2)'!$B$70:$B$74</c:f>
              <c:numCache/>
            </c:numRef>
          </c:xVal>
          <c:yVal>
            <c:numRef>
              <c:f>'10min anneal (2)'!$G$70:$G$74</c:f>
              <c:numCache/>
            </c:numRef>
          </c:yVal>
          <c:smooth val="1"/>
        </c:ser>
        <c:axId val="19128453"/>
        <c:axId val="37938350"/>
      </c:scatterChart>
      <c:valAx>
        <c:axId val="191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8350"/>
        <c:crosses val="autoZero"/>
        <c:crossBetween val="midCat"/>
        <c:dispUnits/>
      </c:valAx>
      <c:valAx>
        <c:axId val="37938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8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115"/>
          <c:w val="0.882"/>
          <c:h val="0.92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summary!$A$32</c:f>
              <c:strCache>
                <c:ptCount val="1"/>
                <c:pt idx="0">
                  <c:v>10 min anneal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summary!$A$34:$A$45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summary!$B$34:$B$45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summary!$E$17</c:f>
              <c:strCache>
                <c:ptCount val="1"/>
                <c:pt idx="0">
                  <c:v>80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summary!$E$19:$E$29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summary!$F$19:$F$29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summary!$E$1</c:f>
              <c:strCache>
                <c:ptCount val="1"/>
                <c:pt idx="0">
                  <c:v>10000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946667"/>
        <c:axId val="26520004"/>
      </c:scatterChart>
      <c:valAx>
        <c:axId val="294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0004"/>
        <c:crosses val="autoZero"/>
        <c:crossBetween val="midCat"/>
        <c:dispUnits/>
      </c:valAx>
      <c:valAx>
        <c:axId val="2652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efficiency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6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5"/>
          <c:y val="0.41025"/>
          <c:w val="0.28625"/>
          <c:h val="0.2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'10min anneal (2)'!$A$100</c:f>
              <c:strCache>
                <c:ptCount val="1"/>
                <c:pt idx="0">
                  <c:v>Vrev =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(2)'!$B$106:$B$107</c:f>
              <c:numCache/>
            </c:numRef>
          </c:xVal>
          <c:yVal>
            <c:numRef>
              <c:f>'10min anneal (2)'!$G$106:$G$107</c:f>
              <c:numCache/>
            </c:numRef>
          </c:yVal>
          <c:smooth val="1"/>
        </c:ser>
        <c:axId val="5900831"/>
        <c:axId val="53107480"/>
      </c:scatterChart>
      <c:val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7480"/>
        <c:crosses val="autoZero"/>
        <c:crossBetween val="midCat"/>
        <c:dispUnits/>
      </c:valAx>
      <c:valAx>
        <c:axId val="53107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'10min anneal (2)'!$A$112</c:f>
              <c:strCache>
                <c:ptCount val="1"/>
                <c:pt idx="0">
                  <c:v>Vrev = 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(2)'!$B$117:$B$118</c:f>
              <c:numCache/>
            </c:numRef>
          </c:xVal>
          <c:yVal>
            <c:numRef>
              <c:f>'10min anneal (2)'!$G$117:$G$118</c:f>
              <c:numCache/>
            </c:numRef>
          </c:yVal>
          <c:smooth val="1"/>
        </c:ser>
        <c:axId val="8205273"/>
        <c:axId val="6738594"/>
      </c:scatterChart>
      <c:valAx>
        <c:axId val="8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8594"/>
        <c:crosses val="autoZero"/>
        <c:crossBetween val="midCat"/>
        <c:dispUnits/>
      </c:valAx>
      <c:valAx>
        <c:axId val="6738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5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975"/>
          <c:w val="0.8915"/>
          <c:h val="0.7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(2)'!$A$124</c:f>
              <c:strCache>
                <c:ptCount val="1"/>
                <c:pt idx="0">
                  <c:v>Vrev = 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(2)'!$B$128:$B$131</c:f>
              <c:numCache/>
            </c:numRef>
          </c:xVal>
          <c:yVal>
            <c:numRef>
              <c:f>'10min anneal (2)'!$G$128:$G$131</c:f>
              <c:numCache/>
            </c:numRef>
          </c:yVal>
          <c:smooth val="1"/>
        </c:ser>
        <c:axId val="60647347"/>
        <c:axId val="8955212"/>
      </c:scatterChart>
      <c:valAx>
        <c:axId val="60647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55212"/>
        <c:crosses val="autoZero"/>
        <c:crossBetween val="midCat"/>
        <c:dispUnits/>
      </c:valAx>
      <c:valAx>
        <c:axId val="895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473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25"/>
          <c:w val="0.8905"/>
          <c:h val="0.69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 (2)'!$A$82</c:f>
              <c:strCache>
                <c:ptCount val="1"/>
                <c:pt idx="0">
                  <c:v>Vrev =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 (2)'!$B$86:$B$88</c:f>
              <c:numCache/>
            </c:numRef>
          </c:xVal>
          <c:yVal>
            <c:numRef>
              <c:f>'10min anneal (2)'!$G$86:$G$88</c:f>
              <c:numCache/>
            </c:numRef>
          </c:yVal>
          <c:smooth val="1"/>
        </c:ser>
        <c:axId val="13488045"/>
        <c:axId val="54283542"/>
      </c:scatterChart>
      <c:valAx>
        <c:axId val="1348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3542"/>
        <c:crosses val="autoZero"/>
        <c:crossBetween val="midCat"/>
        <c:dispUnits/>
      </c:valAx>
      <c:valAx>
        <c:axId val="5428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8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64-4 10 min anneal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'10min anneal (2)'!$L$5:$L$11</c:f>
              <c:numCache/>
            </c:numRef>
          </c:xVal>
          <c:yVal>
            <c:numRef>
              <c:f>'10min anneal (2)'!$N$5:$N$11</c:f>
              <c:numCache/>
            </c:numRef>
          </c:yVal>
          <c:smooth val="1"/>
        </c:ser>
        <c:axId val="18789831"/>
        <c:axId val="34890752"/>
      </c:scatterChart>
      <c:valAx>
        <c:axId val="1878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90752"/>
        <c:crosses val="autoZero"/>
        <c:crossBetween val="midCat"/>
        <c:dispUnits/>
      </c:valAx>
      <c:valAx>
        <c:axId val="34890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89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975"/>
          <c:w val="0.8967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'pre-anneal'!$A$30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'pre-anneal'!$B$33:$B$35</c:f>
              <c:numCache>
                <c:ptCount val="3"/>
                <c:pt idx="0">
                  <c:v>1.0161485269528288</c:v>
                </c:pt>
              </c:numCache>
            </c:numRef>
          </c:xVal>
          <c:yVal>
            <c:numRef>
              <c:f>'pre-anneal'!$G$33:$G$35</c:f>
              <c:numCache/>
            </c:numRef>
          </c:yVal>
          <c:smooth val="1"/>
        </c:ser>
        <c:axId val="45581313"/>
        <c:axId val="7578634"/>
      </c:scatterChart>
      <c:valAx>
        <c:axId val="4558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78634"/>
        <c:crosses val="autoZero"/>
        <c:crossBetween val="midCat"/>
        <c:dispUnits/>
      </c:valAx>
      <c:valAx>
        <c:axId val="757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1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2"/>
          <c:w val="0.894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'pre-anneal'!$A$40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'pre-anneal'!$B$43:$B$49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'pre-anneal'!$G$43:$G$49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098843"/>
        <c:axId val="9889588"/>
      </c:scatterChart>
      <c:valAx>
        <c:axId val="109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9588"/>
        <c:crosses val="autoZero"/>
        <c:crossBetween val="midCat"/>
        <c:dispUnits/>
      </c:valAx>
      <c:valAx>
        <c:axId val="98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8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75"/>
          <c:w val="0.896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'pre-anneal'!$A$51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'pre-anneal'!$B$54:$B$60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'pre-anneal'!$G$54:$G$60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1897429"/>
        <c:axId val="62859134"/>
      </c:scatterChart>
      <c:valAx>
        <c:axId val="2189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9134"/>
        <c:crosses val="autoZero"/>
        <c:crossBetween val="midCat"/>
        <c:dispUnits/>
      </c:valAx>
      <c:valAx>
        <c:axId val="628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97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175"/>
          <c:w val="0.8957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'pre-anneal'!$A$63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'pre-anneal'!$B$66:$B$69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'pre-anneal'!$G$66:$G$69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8861295"/>
        <c:axId val="58425064"/>
      </c:scatterChart>
      <c:valAx>
        <c:axId val="288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5064"/>
        <c:crosses val="autoZero"/>
        <c:crossBetween val="midCat"/>
        <c:dispUnits/>
      </c:valAx>
      <c:valAx>
        <c:axId val="5842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'pre-anneal'!$A$78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'pre-anneal'!$B$81:$B$88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'pre-anneal'!$G$81:$G$88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6063529"/>
        <c:axId val="34809714"/>
      </c:scatterChart>
      <c:valAx>
        <c:axId val="5606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09714"/>
        <c:crosses val="autoZero"/>
        <c:crossBetween val="midCat"/>
        <c:dispUnits/>
      </c:valAx>
      <c:valAx>
        <c:axId val="34809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63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275"/>
          <c:w val="0.899"/>
          <c:h val="0.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summary2!$B$2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summary2!$A$3:$A$7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summary2!$B$3:$B$7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summary2!$C$2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summary2!$A$3:$A$7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summary2!$C$3:$C$7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7353445"/>
        <c:axId val="636686"/>
      </c:scatterChart>
      <c:valAx>
        <c:axId val="3735344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686"/>
        <c:crosses val="autoZero"/>
        <c:crossBetween val="midCat"/>
        <c:dispUnits/>
      </c:valAx>
      <c:valAx>
        <c:axId val="63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med Q or eff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3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0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675"/>
          <c:w val="0.8935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'pre-anneal'!$A$93</c:f>
              <c:strCache>
                <c:ptCount val="1"/>
                <c:pt idx="0">
                  <c:v>Vrev = 450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('pre-anneal'!$B$96,'pre-anneal'!$B$98:$B$101)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('pre-anneal'!$G$96,'pre-anneal'!$G$98:$G$101)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4851971"/>
        <c:axId val="1014556"/>
      </c:scatterChart>
      <c:valAx>
        <c:axId val="4485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4556"/>
        <c:crosses val="autoZero"/>
        <c:crossBetween val="midCat"/>
        <c:dispUnits/>
      </c:valAx>
      <c:valAx>
        <c:axId val="1014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51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'pre-anneal'!$A$108</c:f>
              <c:strCache>
                <c:ptCount val="1"/>
                <c:pt idx="0">
                  <c:v>Vrev =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'pre-anneal'!$B$112:$B$117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'pre-anneal'!$G$112:$G$117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9131005"/>
        <c:axId val="15070182"/>
      </c:scatterChart>
      <c:valAx>
        <c:axId val="913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0182"/>
        <c:crosses val="autoZero"/>
        <c:crossBetween val="midCat"/>
        <c:dispUnits/>
      </c:valAx>
      <c:valAx>
        <c:axId val="1507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1005"/>
        <c:crosses val="autoZero"/>
        <c:crossBetween val="midCat"/>
        <c:dispUnits/>
        <c:majorUnit val="0.1639995777758368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'pre-anneal'!$A$123</c:f>
              <c:strCache>
                <c:ptCount val="1"/>
                <c:pt idx="0">
                  <c:v>Vrev =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'pre-anneal'!$B$129:$B$132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'pre-anneal'!$G$129:$G$132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413911"/>
        <c:axId val="12725200"/>
      </c:scatterChart>
      <c:valAx>
        <c:axId val="1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25200"/>
        <c:crosses val="autoZero"/>
        <c:crossBetween val="midCat"/>
        <c:dispUnits/>
      </c:valAx>
      <c:valAx>
        <c:axId val="1272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'pre-anneal'!$A$135</c:f>
              <c:strCache>
                <c:ptCount val="1"/>
                <c:pt idx="0">
                  <c:v>Vrev = 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'pre-anneal'!$B$138:$B$144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'pre-anneal'!$G$138:$G$144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7417937"/>
        <c:axId val="24108250"/>
      </c:scatterChart>
      <c:valAx>
        <c:axId val="4741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8250"/>
        <c:crosses val="autoZero"/>
        <c:crossBetween val="midCat"/>
        <c:dispUnits/>
      </c:valAx>
      <c:valAx>
        <c:axId val="2410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7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975"/>
          <c:w val="0.8915"/>
          <c:h val="0.7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'pre-anneal'!$A$147</c:f>
              <c:strCache>
                <c:ptCount val="1"/>
                <c:pt idx="0">
                  <c:v>Vrev = 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'pre-anneal'!$B$151:$B$154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'pre-anneal'!$G$151:$G$154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5647659"/>
        <c:axId val="6611204"/>
      </c:scatterChart>
      <c:valAx>
        <c:axId val="1564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204"/>
        <c:crosses val="autoZero"/>
        <c:crossBetween val="midCat"/>
        <c:dispUnits/>
      </c:valAx>
      <c:valAx>
        <c:axId val="661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47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'pre-anneal'!$L$5:$L$13</c:f>
              <c:numCache/>
            </c:numRef>
          </c:xVal>
          <c:yVal>
            <c:numRef>
              <c:f>'pre-anneal'!$N$5:$N$13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'[1]neg20'!$A$5:$A$42</c:f>
              <c:numCache>
                <c:ptCount val="38"/>
                <c:pt idx="0">
                  <c:v>0.069896</c:v>
                </c:pt>
                <c:pt idx="1">
                  <c:v>4.777</c:v>
                </c:pt>
                <c:pt idx="2">
                  <c:v>9.6846</c:v>
                </c:pt>
                <c:pt idx="3">
                  <c:v>14.626</c:v>
                </c:pt>
                <c:pt idx="4">
                  <c:v>19.569</c:v>
                </c:pt>
                <c:pt idx="5">
                  <c:v>24.512</c:v>
                </c:pt>
                <c:pt idx="6">
                  <c:v>29.419</c:v>
                </c:pt>
                <c:pt idx="7">
                  <c:v>34.372</c:v>
                </c:pt>
                <c:pt idx="8">
                  <c:v>39.336</c:v>
                </c:pt>
                <c:pt idx="9">
                  <c:v>44.301</c:v>
                </c:pt>
                <c:pt idx="10">
                  <c:v>49.237</c:v>
                </c:pt>
                <c:pt idx="11">
                  <c:v>54.153</c:v>
                </c:pt>
                <c:pt idx="12">
                  <c:v>59.127</c:v>
                </c:pt>
                <c:pt idx="13">
                  <c:v>64.07</c:v>
                </c:pt>
                <c:pt idx="14">
                  <c:v>69.035</c:v>
                </c:pt>
                <c:pt idx="15">
                  <c:v>73.996</c:v>
                </c:pt>
                <c:pt idx="16">
                  <c:v>78.946</c:v>
                </c:pt>
                <c:pt idx="17">
                  <c:v>83.827</c:v>
                </c:pt>
                <c:pt idx="18">
                  <c:v>88.878</c:v>
                </c:pt>
                <c:pt idx="19">
                  <c:v>93.75</c:v>
                </c:pt>
                <c:pt idx="20">
                  <c:v>98.789</c:v>
                </c:pt>
                <c:pt idx="21">
                  <c:v>103.86</c:v>
                </c:pt>
                <c:pt idx="22">
                  <c:v>108.8</c:v>
                </c:pt>
                <c:pt idx="23">
                  <c:v>113.69</c:v>
                </c:pt>
                <c:pt idx="24">
                  <c:v>118.68</c:v>
                </c:pt>
                <c:pt idx="25">
                  <c:v>123.56</c:v>
                </c:pt>
                <c:pt idx="26">
                  <c:v>128.57</c:v>
                </c:pt>
                <c:pt idx="27">
                  <c:v>133.43</c:v>
                </c:pt>
                <c:pt idx="28">
                  <c:v>138.39</c:v>
                </c:pt>
                <c:pt idx="29">
                  <c:v>143.46</c:v>
                </c:pt>
                <c:pt idx="30">
                  <c:v>148.34</c:v>
                </c:pt>
                <c:pt idx="31">
                  <c:v>153.26</c:v>
                </c:pt>
                <c:pt idx="32">
                  <c:v>158.33</c:v>
                </c:pt>
                <c:pt idx="33">
                  <c:v>163.27</c:v>
                </c:pt>
                <c:pt idx="34">
                  <c:v>168.16</c:v>
                </c:pt>
                <c:pt idx="35">
                  <c:v>173.14</c:v>
                </c:pt>
                <c:pt idx="36">
                  <c:v>178.18</c:v>
                </c:pt>
                <c:pt idx="37">
                  <c:v>182.97</c:v>
                </c:pt>
              </c:numCache>
            </c:numRef>
          </c:xVal>
          <c:yVal>
            <c:numRef>
              <c:f>'[1]neg20'!$I$5:$I$42</c:f>
              <c:numCache>
                <c:ptCount val="38"/>
                <c:pt idx="0">
                  <c:v>0.023284177846767937</c:v>
                </c:pt>
                <c:pt idx="1">
                  <c:v>0.17291778171188601</c:v>
                </c:pt>
                <c:pt idx="2">
                  <c:v>0.2304779674038303</c:v>
                </c:pt>
                <c:pt idx="3">
                  <c:v>0.2761522782562956</c:v>
                </c:pt>
                <c:pt idx="4">
                  <c:v>0.30419352502353875</c:v>
                </c:pt>
                <c:pt idx="5">
                  <c:v>0.3342352379436575</c:v>
                </c:pt>
                <c:pt idx="6">
                  <c:v>0.3661726242371403</c:v>
                </c:pt>
                <c:pt idx="7">
                  <c:v>0.4053662773863526</c:v>
                </c:pt>
                <c:pt idx="8">
                  <c:v>0.43438240130728417</c:v>
                </c:pt>
                <c:pt idx="9">
                  <c:v>0.45066311858878066</c:v>
                </c:pt>
                <c:pt idx="10">
                  <c:v>0.4741851354250167</c:v>
                </c:pt>
                <c:pt idx="11">
                  <c:v>0.5013428827215757</c:v>
                </c:pt>
                <c:pt idx="12">
                  <c:v>0.5184801125842531</c:v>
                </c:pt>
                <c:pt idx="13">
                  <c:v>0.5407214769420913</c:v>
                </c:pt>
                <c:pt idx="14">
                  <c:v>0.562369449949119</c:v>
                </c:pt>
                <c:pt idx="15">
                  <c:v>0.6009185469217233</c:v>
                </c:pt>
                <c:pt idx="16">
                  <c:v>0.6301859048419284</c:v>
                </c:pt>
                <c:pt idx="17">
                  <c:v>0.6358819076457228</c:v>
                </c:pt>
                <c:pt idx="18">
                  <c:v>0.6460643910843114</c:v>
                </c:pt>
                <c:pt idx="19">
                  <c:v>0.6733898767055202</c:v>
                </c:pt>
                <c:pt idx="20">
                  <c:v>0.6854457029082481</c:v>
                </c:pt>
                <c:pt idx="21">
                  <c:v>0.7152101355493494</c:v>
                </c:pt>
                <c:pt idx="22">
                  <c:v>0.7294959530343558</c:v>
                </c:pt>
                <c:pt idx="23">
                  <c:v>0.7314269792065758</c:v>
                </c:pt>
                <c:pt idx="24">
                  <c:v>0.7524858908895458</c:v>
                </c:pt>
                <c:pt idx="25">
                  <c:v>0.7769289110046431</c:v>
                </c:pt>
                <c:pt idx="26">
                  <c:v>0.7801326225458326</c:v>
                </c:pt>
                <c:pt idx="27">
                  <c:v>0.7988891636391303</c:v>
                </c:pt>
                <c:pt idx="28">
                  <c:v>0.8215319615053596</c:v>
                </c:pt>
                <c:pt idx="29">
                  <c:v>0.8277003724651675</c:v>
                </c:pt>
                <c:pt idx="30">
                  <c:v>0.8395802098950524</c:v>
                </c:pt>
                <c:pt idx="31">
                  <c:v>0.8510810756043687</c:v>
                </c:pt>
                <c:pt idx="32">
                  <c:v>0.8604441530771123</c:v>
                </c:pt>
                <c:pt idx="33">
                  <c:v>0.8620689655172414</c:v>
                </c:pt>
                <c:pt idx="34">
                  <c:v>0.8233356857210069</c:v>
                </c:pt>
                <c:pt idx="35">
                  <c:v>4.2424242424242425E-48</c:v>
                </c:pt>
                <c:pt idx="36">
                  <c:v>0.906540038851716</c:v>
                </c:pt>
                <c:pt idx="37">
                  <c:v>0.9113792205537713</c:v>
                </c:pt>
              </c:numCache>
            </c:numRef>
          </c:yVal>
          <c:smooth val="1"/>
        </c:ser>
        <c:axId val="59500837"/>
        <c:axId val="65745486"/>
      </c:scatterChart>
      <c:valAx>
        <c:axId val="5950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45486"/>
        <c:crosses val="autoZero"/>
        <c:crossBetween val="midCat"/>
        <c:dispUnits/>
      </c:valAx>
      <c:valAx>
        <c:axId val="65745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0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Calibration!$I$7:$I$27</c:f>
              <c:numCache/>
            </c:numRef>
          </c:xVal>
          <c:yVal>
            <c:numRef>
              <c:f>Calibration!$J$7:$J$27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Calibration!$I$7:$I$27</c:f>
              <c:numCache/>
            </c:numRef>
          </c:xVal>
          <c:yVal>
            <c:numRef>
              <c:f>Calibration!$K$7:$K$27</c:f>
              <c:numCache/>
            </c:numRef>
          </c:yVal>
          <c:smooth val="1"/>
        </c:ser>
        <c:axId val="54838463"/>
        <c:axId val="23784120"/>
      </c:scatterChart>
      <c:valAx>
        <c:axId val="5483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84120"/>
        <c:crosses val="autoZero"/>
        <c:crossBetween val="midCat"/>
        <c:dispUnits/>
      </c:valAx>
      <c:valAx>
        <c:axId val="23784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38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64-4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45"/>
          <c:w val="0.88225"/>
          <c:h val="0.787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Calibration!$L$4:$L$16</c:f>
              <c:numCache/>
            </c:numRef>
          </c:xVal>
          <c:yVal>
            <c:numRef>
              <c:f>Calibration!$M$4:$M$16</c:f>
              <c:numCache/>
            </c:numRef>
          </c:yVal>
          <c:smooth val="1"/>
        </c:ser>
        <c:axId val="12730489"/>
        <c:axId val="47465538"/>
      </c:scatterChart>
      <c:valAx>
        <c:axId val="1273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5538"/>
        <c:crosses val="autoZero"/>
        <c:crossBetween val="midCat"/>
        <c:dispUnits/>
      </c:valAx>
      <c:valAx>
        <c:axId val="4746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30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6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Voltage for 2 fC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26"/>
          <c:w val="0.902"/>
          <c:h val="0.7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summary2!$A$19</c:f>
              <c:strCache>
                <c:ptCount val="1"/>
                <c:pt idx="0">
                  <c:v>2 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summary2!$A$21:$A$25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summary2!$B$21:$B$25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730175"/>
        <c:axId val="51571576"/>
      </c:scatterChart>
      <c:valAx>
        <c:axId val="57301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1576"/>
        <c:crosses val="autoZero"/>
        <c:crossBetween val="midCat"/>
        <c:dispUnits/>
      </c:valAx>
      <c:valAx>
        <c:axId val="51571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for 2 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0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975"/>
          <c:w val="0.8967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anneal'!$A$19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anneal'!$B$22:$B$24</c:f>
              <c:numCache/>
            </c:numRef>
          </c:xVal>
          <c:yVal>
            <c:numRef>
              <c:f>'10min anneal'!$G$22:$G$24</c:f>
              <c:numCache/>
            </c:numRef>
          </c:yVal>
          <c:smooth val="1"/>
        </c:ser>
        <c:axId val="61491001"/>
        <c:axId val="16548098"/>
      </c:scatterChart>
      <c:valAx>
        <c:axId val="614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8098"/>
        <c:crosses val="autoZero"/>
        <c:crossBetween val="midCat"/>
        <c:dispUnits/>
      </c:valAx>
      <c:valAx>
        <c:axId val="16548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91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2"/>
          <c:w val="0.894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anneal'!$A$29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anneal'!$B$32:$B$38</c:f>
              <c:numCache/>
            </c:numRef>
          </c:xVal>
          <c:yVal>
            <c:numRef>
              <c:f>'10min anneal'!$G$32:$G$38</c:f>
              <c:numCache/>
            </c:numRef>
          </c:yVal>
          <c:smooth val="1"/>
        </c:ser>
        <c:axId val="14715155"/>
        <c:axId val="65327532"/>
      </c:scatterChart>
      <c:valAx>
        <c:axId val="1471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7532"/>
        <c:crosses val="autoZero"/>
        <c:crossBetween val="midCat"/>
        <c:dispUnits/>
      </c:valAx>
      <c:valAx>
        <c:axId val="6532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15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75"/>
          <c:w val="0.8965"/>
          <c:h val="0.7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anneal'!$A$40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anneal'!$B$43:$B$49</c:f>
              <c:numCache/>
            </c:numRef>
          </c:xVal>
          <c:yVal>
            <c:numRef>
              <c:f>'10min anneal'!$G$43:$G$49</c:f>
              <c:numCache/>
            </c:numRef>
          </c:yVal>
          <c:smooth val="1"/>
        </c:ser>
        <c:axId val="51076877"/>
        <c:axId val="57038710"/>
      </c:scatterChart>
      <c:valAx>
        <c:axId val="5107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8710"/>
        <c:crosses val="autoZero"/>
        <c:crossBetween val="midCat"/>
        <c:dispUnits/>
      </c:valAx>
      <c:valAx>
        <c:axId val="5703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768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175"/>
          <c:w val="0.8957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anneal'!$A$52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anneal'!$B$55:$B$58</c:f>
              <c:numCache/>
            </c:numRef>
          </c:xVal>
          <c:yVal>
            <c:numRef>
              <c:f>'10min anneal'!$G$55:$G$58</c:f>
              <c:numCache/>
            </c:numRef>
          </c:yVal>
          <c:smooth val="1"/>
        </c:ser>
        <c:axId val="43586343"/>
        <c:axId val="56732768"/>
      </c:scatterChart>
      <c:valAx>
        <c:axId val="4358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32768"/>
        <c:crosses val="autoZero"/>
        <c:crossBetween val="midCat"/>
        <c:dispUnits/>
      </c:valAx>
      <c:valAx>
        <c:axId val="56732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6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5225"/>
          <c:h val="0.81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'10min anneal'!$A$67</c:f>
              <c:strCache>
                <c:ptCount val="1"/>
                <c:pt idx="0">
                  <c:v>Vrev =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'10min anneal'!$B$70:$B$74</c:f>
              <c:numCache/>
            </c:numRef>
          </c:xVal>
          <c:yVal>
            <c:numRef>
              <c:f>'10min anneal'!$G$70:$G$74</c:f>
              <c:numCache/>
            </c:numRef>
          </c:yVal>
          <c:smooth val="1"/>
        </c:ser>
        <c:axId val="40832865"/>
        <c:axId val="31951466"/>
      </c:scatterChart>
      <c:val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1466"/>
        <c:crosses val="autoZero"/>
        <c:crossBetween val="midCat"/>
        <c:dispUnits/>
      </c:valAx>
      <c:valAx>
        <c:axId val="3195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2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38100</xdr:rowOff>
    </xdr:from>
    <xdr:to>
      <xdr:col>15</xdr:col>
      <xdr:colOff>323850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14875" y="38100"/>
        <a:ext cx="4752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18</xdr:row>
      <xdr:rowOff>123825</xdr:rowOff>
    </xdr:from>
    <xdr:to>
      <xdr:col>15</xdr:col>
      <xdr:colOff>247650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4714875" y="3038475"/>
        <a:ext cx="46767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11</xdr:col>
      <xdr:colOff>190500</xdr:colOff>
      <xdr:row>15</xdr:row>
      <xdr:rowOff>133350</xdr:rowOff>
    </xdr:to>
    <xdr:graphicFrame>
      <xdr:nvGraphicFramePr>
        <xdr:cNvPr id="1" name="Chart 3"/>
        <xdr:cNvGraphicFramePr/>
      </xdr:nvGraphicFramePr>
      <xdr:xfrm>
        <a:off x="2905125" y="0"/>
        <a:ext cx="4171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16</xdr:row>
      <xdr:rowOff>19050</xdr:rowOff>
    </xdr:from>
    <xdr:to>
      <xdr:col>11</xdr:col>
      <xdr:colOff>19050</xdr:colOff>
      <xdr:row>33</xdr:row>
      <xdr:rowOff>47625</xdr:rowOff>
    </xdr:to>
    <xdr:graphicFrame>
      <xdr:nvGraphicFramePr>
        <xdr:cNvPr id="2" name="Chart 12"/>
        <xdr:cNvGraphicFramePr/>
      </xdr:nvGraphicFramePr>
      <xdr:xfrm>
        <a:off x="2762250" y="2609850"/>
        <a:ext cx="4143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0</xdr:rowOff>
    </xdr:from>
    <xdr:to>
      <xdr:col>12</xdr:col>
      <xdr:colOff>466725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400550" y="2266950"/>
        <a:ext cx="3476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26</xdr:row>
      <xdr:rowOff>104775</xdr:rowOff>
    </xdr:from>
    <xdr:to>
      <xdr:col>12</xdr:col>
      <xdr:colOff>342900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4438650" y="4314825"/>
        <a:ext cx="33147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38</xdr:row>
      <xdr:rowOff>0</xdr:rowOff>
    </xdr:from>
    <xdr:to>
      <xdr:col>12</xdr:col>
      <xdr:colOff>457200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4476750" y="6153150"/>
        <a:ext cx="33909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49</xdr:row>
      <xdr:rowOff>152400</xdr:rowOff>
    </xdr:from>
    <xdr:to>
      <xdr:col>12</xdr:col>
      <xdr:colOff>438150</xdr:colOff>
      <xdr:row>62</xdr:row>
      <xdr:rowOff>142875</xdr:rowOff>
    </xdr:to>
    <xdr:graphicFrame>
      <xdr:nvGraphicFramePr>
        <xdr:cNvPr id="4" name="Chart 4"/>
        <xdr:cNvGraphicFramePr/>
      </xdr:nvGraphicFramePr>
      <xdr:xfrm>
        <a:off x="4400550" y="8086725"/>
        <a:ext cx="34480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64</xdr:row>
      <xdr:rowOff>66675</xdr:rowOff>
    </xdr:from>
    <xdr:to>
      <xdr:col>12</xdr:col>
      <xdr:colOff>552450</xdr:colOff>
      <xdr:row>79</xdr:row>
      <xdr:rowOff>85725</xdr:rowOff>
    </xdr:to>
    <xdr:graphicFrame>
      <xdr:nvGraphicFramePr>
        <xdr:cNvPr id="5" name="Chart 5"/>
        <xdr:cNvGraphicFramePr/>
      </xdr:nvGraphicFramePr>
      <xdr:xfrm>
        <a:off x="4391025" y="10429875"/>
        <a:ext cx="357187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97</xdr:row>
      <xdr:rowOff>114300</xdr:rowOff>
    </xdr:from>
    <xdr:to>
      <xdr:col>12</xdr:col>
      <xdr:colOff>219075</xdr:colOff>
      <xdr:row>109</xdr:row>
      <xdr:rowOff>104775</xdr:rowOff>
    </xdr:to>
    <xdr:graphicFrame>
      <xdr:nvGraphicFramePr>
        <xdr:cNvPr id="6" name="Chart 8"/>
        <xdr:cNvGraphicFramePr/>
      </xdr:nvGraphicFramePr>
      <xdr:xfrm>
        <a:off x="4381500" y="15821025"/>
        <a:ext cx="324802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85725</xdr:colOff>
      <xdr:row>110</xdr:row>
      <xdr:rowOff>0</xdr:rowOff>
    </xdr:from>
    <xdr:to>
      <xdr:col>12</xdr:col>
      <xdr:colOff>180975</xdr:colOff>
      <xdr:row>123</xdr:row>
      <xdr:rowOff>47625</xdr:rowOff>
    </xdr:to>
    <xdr:graphicFrame>
      <xdr:nvGraphicFramePr>
        <xdr:cNvPr id="7" name="Chart 9"/>
        <xdr:cNvGraphicFramePr/>
      </xdr:nvGraphicFramePr>
      <xdr:xfrm>
        <a:off x="4429125" y="17811750"/>
        <a:ext cx="31623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190500</xdr:colOff>
      <xdr:row>123</xdr:row>
      <xdr:rowOff>76200</xdr:rowOff>
    </xdr:from>
    <xdr:to>
      <xdr:col>12</xdr:col>
      <xdr:colOff>361950</xdr:colOff>
      <xdr:row>135</xdr:row>
      <xdr:rowOff>133350</xdr:rowOff>
    </xdr:to>
    <xdr:graphicFrame>
      <xdr:nvGraphicFramePr>
        <xdr:cNvPr id="8" name="Chart 10"/>
        <xdr:cNvGraphicFramePr/>
      </xdr:nvGraphicFramePr>
      <xdr:xfrm>
        <a:off x="4533900" y="19992975"/>
        <a:ext cx="3238500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133350</xdr:colOff>
      <xdr:row>80</xdr:row>
      <xdr:rowOff>114300</xdr:rowOff>
    </xdr:from>
    <xdr:to>
      <xdr:col>12</xdr:col>
      <xdr:colOff>285750</xdr:colOff>
      <xdr:row>92</xdr:row>
      <xdr:rowOff>142875</xdr:rowOff>
    </xdr:to>
    <xdr:graphicFrame>
      <xdr:nvGraphicFramePr>
        <xdr:cNvPr id="9" name="Chart 12"/>
        <xdr:cNvGraphicFramePr/>
      </xdr:nvGraphicFramePr>
      <xdr:xfrm>
        <a:off x="4476750" y="13068300"/>
        <a:ext cx="3219450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285750</xdr:colOff>
      <xdr:row>0</xdr:row>
      <xdr:rowOff>142875</xdr:rowOff>
    </xdr:from>
    <xdr:to>
      <xdr:col>10</xdr:col>
      <xdr:colOff>266700</xdr:colOff>
      <xdr:row>16</xdr:row>
      <xdr:rowOff>76200</xdr:rowOff>
    </xdr:to>
    <xdr:graphicFrame>
      <xdr:nvGraphicFramePr>
        <xdr:cNvPr id="10" name="Chart 13"/>
        <xdr:cNvGraphicFramePr/>
      </xdr:nvGraphicFramePr>
      <xdr:xfrm>
        <a:off x="2190750" y="142875"/>
        <a:ext cx="424815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0</xdr:rowOff>
    </xdr:from>
    <xdr:to>
      <xdr:col>12</xdr:col>
      <xdr:colOff>466725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400550" y="2266950"/>
        <a:ext cx="3476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26</xdr:row>
      <xdr:rowOff>104775</xdr:rowOff>
    </xdr:from>
    <xdr:to>
      <xdr:col>12</xdr:col>
      <xdr:colOff>342900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4438650" y="4314825"/>
        <a:ext cx="33147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38</xdr:row>
      <xdr:rowOff>0</xdr:rowOff>
    </xdr:from>
    <xdr:to>
      <xdr:col>12</xdr:col>
      <xdr:colOff>457200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4476750" y="6153150"/>
        <a:ext cx="33909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49</xdr:row>
      <xdr:rowOff>152400</xdr:rowOff>
    </xdr:from>
    <xdr:to>
      <xdr:col>12</xdr:col>
      <xdr:colOff>438150</xdr:colOff>
      <xdr:row>62</xdr:row>
      <xdr:rowOff>142875</xdr:rowOff>
    </xdr:to>
    <xdr:graphicFrame>
      <xdr:nvGraphicFramePr>
        <xdr:cNvPr id="4" name="Chart 4"/>
        <xdr:cNvGraphicFramePr/>
      </xdr:nvGraphicFramePr>
      <xdr:xfrm>
        <a:off x="4400550" y="8086725"/>
        <a:ext cx="34480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64</xdr:row>
      <xdr:rowOff>66675</xdr:rowOff>
    </xdr:from>
    <xdr:to>
      <xdr:col>12</xdr:col>
      <xdr:colOff>552450</xdr:colOff>
      <xdr:row>79</xdr:row>
      <xdr:rowOff>85725</xdr:rowOff>
    </xdr:to>
    <xdr:graphicFrame>
      <xdr:nvGraphicFramePr>
        <xdr:cNvPr id="5" name="Chart 5"/>
        <xdr:cNvGraphicFramePr/>
      </xdr:nvGraphicFramePr>
      <xdr:xfrm>
        <a:off x="4391025" y="10429875"/>
        <a:ext cx="357187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97</xdr:row>
      <xdr:rowOff>114300</xdr:rowOff>
    </xdr:from>
    <xdr:to>
      <xdr:col>12</xdr:col>
      <xdr:colOff>219075</xdr:colOff>
      <xdr:row>109</xdr:row>
      <xdr:rowOff>104775</xdr:rowOff>
    </xdr:to>
    <xdr:graphicFrame>
      <xdr:nvGraphicFramePr>
        <xdr:cNvPr id="6" name="Chart 6"/>
        <xdr:cNvGraphicFramePr/>
      </xdr:nvGraphicFramePr>
      <xdr:xfrm>
        <a:off x="4381500" y="15821025"/>
        <a:ext cx="324802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85725</xdr:colOff>
      <xdr:row>110</xdr:row>
      <xdr:rowOff>0</xdr:rowOff>
    </xdr:from>
    <xdr:to>
      <xdr:col>12</xdr:col>
      <xdr:colOff>180975</xdr:colOff>
      <xdr:row>123</xdr:row>
      <xdr:rowOff>47625</xdr:rowOff>
    </xdr:to>
    <xdr:graphicFrame>
      <xdr:nvGraphicFramePr>
        <xdr:cNvPr id="7" name="Chart 7"/>
        <xdr:cNvGraphicFramePr/>
      </xdr:nvGraphicFramePr>
      <xdr:xfrm>
        <a:off x="4429125" y="17811750"/>
        <a:ext cx="31623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190500</xdr:colOff>
      <xdr:row>123</xdr:row>
      <xdr:rowOff>76200</xdr:rowOff>
    </xdr:from>
    <xdr:to>
      <xdr:col>12</xdr:col>
      <xdr:colOff>361950</xdr:colOff>
      <xdr:row>135</xdr:row>
      <xdr:rowOff>133350</xdr:rowOff>
    </xdr:to>
    <xdr:graphicFrame>
      <xdr:nvGraphicFramePr>
        <xdr:cNvPr id="8" name="Chart 8"/>
        <xdr:cNvGraphicFramePr/>
      </xdr:nvGraphicFramePr>
      <xdr:xfrm>
        <a:off x="4533900" y="19992975"/>
        <a:ext cx="3238500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133350</xdr:colOff>
      <xdr:row>80</xdr:row>
      <xdr:rowOff>114300</xdr:rowOff>
    </xdr:from>
    <xdr:to>
      <xdr:col>12</xdr:col>
      <xdr:colOff>285750</xdr:colOff>
      <xdr:row>92</xdr:row>
      <xdr:rowOff>142875</xdr:rowOff>
    </xdr:to>
    <xdr:graphicFrame>
      <xdr:nvGraphicFramePr>
        <xdr:cNvPr id="9" name="Chart 9"/>
        <xdr:cNvGraphicFramePr/>
      </xdr:nvGraphicFramePr>
      <xdr:xfrm>
        <a:off x="4476750" y="13068300"/>
        <a:ext cx="3219450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285750</xdr:colOff>
      <xdr:row>0</xdr:row>
      <xdr:rowOff>142875</xdr:rowOff>
    </xdr:from>
    <xdr:to>
      <xdr:col>10</xdr:col>
      <xdr:colOff>266700</xdr:colOff>
      <xdr:row>16</xdr:row>
      <xdr:rowOff>76200</xdr:rowOff>
    </xdr:to>
    <xdr:graphicFrame>
      <xdr:nvGraphicFramePr>
        <xdr:cNvPr id="10" name="Chart 10"/>
        <xdr:cNvGraphicFramePr/>
      </xdr:nvGraphicFramePr>
      <xdr:xfrm>
        <a:off x="2190750" y="142875"/>
        <a:ext cx="424815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25</xdr:row>
      <xdr:rowOff>0</xdr:rowOff>
    </xdr:from>
    <xdr:to>
      <xdr:col>12</xdr:col>
      <xdr:colOff>466725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4400550" y="4048125"/>
        <a:ext cx="3476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37</xdr:row>
      <xdr:rowOff>104775</xdr:rowOff>
    </xdr:from>
    <xdr:to>
      <xdr:col>12</xdr:col>
      <xdr:colOff>342900</xdr:colOff>
      <xdr:row>48</xdr:row>
      <xdr:rowOff>85725</xdr:rowOff>
    </xdr:to>
    <xdr:graphicFrame>
      <xdr:nvGraphicFramePr>
        <xdr:cNvPr id="2" name="Chart 14"/>
        <xdr:cNvGraphicFramePr/>
      </xdr:nvGraphicFramePr>
      <xdr:xfrm>
        <a:off x="4438650" y="6096000"/>
        <a:ext cx="33147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49</xdr:row>
      <xdr:rowOff>0</xdr:rowOff>
    </xdr:from>
    <xdr:to>
      <xdr:col>12</xdr:col>
      <xdr:colOff>457200</xdr:colOff>
      <xdr:row>60</xdr:row>
      <xdr:rowOff>114300</xdr:rowOff>
    </xdr:to>
    <xdr:graphicFrame>
      <xdr:nvGraphicFramePr>
        <xdr:cNvPr id="3" name="Chart 15"/>
        <xdr:cNvGraphicFramePr/>
      </xdr:nvGraphicFramePr>
      <xdr:xfrm>
        <a:off x="4476750" y="7934325"/>
        <a:ext cx="33909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60</xdr:row>
      <xdr:rowOff>152400</xdr:rowOff>
    </xdr:from>
    <xdr:to>
      <xdr:col>12</xdr:col>
      <xdr:colOff>438150</xdr:colOff>
      <xdr:row>73</xdr:row>
      <xdr:rowOff>142875</xdr:rowOff>
    </xdr:to>
    <xdr:graphicFrame>
      <xdr:nvGraphicFramePr>
        <xdr:cNvPr id="4" name="Chart 16"/>
        <xdr:cNvGraphicFramePr/>
      </xdr:nvGraphicFramePr>
      <xdr:xfrm>
        <a:off x="4400550" y="9867900"/>
        <a:ext cx="34480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75</xdr:row>
      <xdr:rowOff>66675</xdr:rowOff>
    </xdr:from>
    <xdr:to>
      <xdr:col>12</xdr:col>
      <xdr:colOff>552450</xdr:colOff>
      <xdr:row>90</xdr:row>
      <xdr:rowOff>85725</xdr:rowOff>
    </xdr:to>
    <xdr:graphicFrame>
      <xdr:nvGraphicFramePr>
        <xdr:cNvPr id="5" name="Chart 17"/>
        <xdr:cNvGraphicFramePr/>
      </xdr:nvGraphicFramePr>
      <xdr:xfrm>
        <a:off x="4391025" y="12211050"/>
        <a:ext cx="357187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152400</xdr:colOff>
      <xdr:row>91</xdr:row>
      <xdr:rowOff>142875</xdr:rowOff>
    </xdr:from>
    <xdr:to>
      <xdr:col>12</xdr:col>
      <xdr:colOff>381000</xdr:colOff>
      <xdr:row>104</xdr:row>
      <xdr:rowOff>66675</xdr:rowOff>
    </xdr:to>
    <xdr:graphicFrame>
      <xdr:nvGraphicFramePr>
        <xdr:cNvPr id="6" name="Chart 18"/>
        <xdr:cNvGraphicFramePr/>
      </xdr:nvGraphicFramePr>
      <xdr:xfrm>
        <a:off x="4495800" y="14878050"/>
        <a:ext cx="3295650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106</xdr:row>
      <xdr:rowOff>114300</xdr:rowOff>
    </xdr:from>
    <xdr:to>
      <xdr:col>12</xdr:col>
      <xdr:colOff>438150</xdr:colOff>
      <xdr:row>119</xdr:row>
      <xdr:rowOff>123825</xdr:rowOff>
    </xdr:to>
    <xdr:graphicFrame>
      <xdr:nvGraphicFramePr>
        <xdr:cNvPr id="7" name="Chart 19"/>
        <xdr:cNvGraphicFramePr/>
      </xdr:nvGraphicFramePr>
      <xdr:xfrm>
        <a:off x="4524375" y="17278350"/>
        <a:ext cx="33242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38100</xdr:colOff>
      <xdr:row>120</xdr:row>
      <xdr:rowOff>114300</xdr:rowOff>
    </xdr:from>
    <xdr:to>
      <xdr:col>12</xdr:col>
      <xdr:colOff>219075</xdr:colOff>
      <xdr:row>132</xdr:row>
      <xdr:rowOff>104775</xdr:rowOff>
    </xdr:to>
    <xdr:graphicFrame>
      <xdr:nvGraphicFramePr>
        <xdr:cNvPr id="8" name="Chart 20"/>
        <xdr:cNvGraphicFramePr/>
      </xdr:nvGraphicFramePr>
      <xdr:xfrm>
        <a:off x="4381500" y="19545300"/>
        <a:ext cx="32480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85725</xdr:colOff>
      <xdr:row>133</xdr:row>
      <xdr:rowOff>0</xdr:rowOff>
    </xdr:from>
    <xdr:to>
      <xdr:col>12</xdr:col>
      <xdr:colOff>180975</xdr:colOff>
      <xdr:row>146</xdr:row>
      <xdr:rowOff>47625</xdr:rowOff>
    </xdr:to>
    <xdr:graphicFrame>
      <xdr:nvGraphicFramePr>
        <xdr:cNvPr id="9" name="Chart 21"/>
        <xdr:cNvGraphicFramePr/>
      </xdr:nvGraphicFramePr>
      <xdr:xfrm>
        <a:off x="4429125" y="21536025"/>
        <a:ext cx="31623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190500</xdr:colOff>
      <xdr:row>146</xdr:row>
      <xdr:rowOff>76200</xdr:rowOff>
    </xdr:from>
    <xdr:to>
      <xdr:col>12</xdr:col>
      <xdr:colOff>361950</xdr:colOff>
      <xdr:row>158</xdr:row>
      <xdr:rowOff>133350</xdr:rowOff>
    </xdr:to>
    <xdr:graphicFrame>
      <xdr:nvGraphicFramePr>
        <xdr:cNvPr id="10" name="Chart 22"/>
        <xdr:cNvGraphicFramePr/>
      </xdr:nvGraphicFramePr>
      <xdr:xfrm>
        <a:off x="4533900" y="23717250"/>
        <a:ext cx="323850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57150</xdr:colOff>
      <xdr:row>5</xdr:row>
      <xdr:rowOff>0</xdr:rowOff>
    </xdr:from>
    <xdr:to>
      <xdr:col>10</xdr:col>
      <xdr:colOff>104775</xdr:colOff>
      <xdr:row>20</xdr:row>
      <xdr:rowOff>85725</xdr:rowOff>
    </xdr:to>
    <xdr:graphicFrame>
      <xdr:nvGraphicFramePr>
        <xdr:cNvPr id="11" name="Chart 23"/>
        <xdr:cNvGraphicFramePr/>
      </xdr:nvGraphicFramePr>
      <xdr:xfrm>
        <a:off x="1962150" y="809625"/>
        <a:ext cx="4314825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26</xdr:row>
      <xdr:rowOff>38100</xdr:rowOff>
    </xdr:from>
    <xdr:to>
      <xdr:col>16</xdr:col>
      <xdr:colOff>323850</xdr:colOff>
      <xdr:row>41</xdr:row>
      <xdr:rowOff>57150</xdr:rowOff>
    </xdr:to>
    <xdr:graphicFrame>
      <xdr:nvGraphicFramePr>
        <xdr:cNvPr id="1" name="Chart 3"/>
        <xdr:cNvGraphicFramePr/>
      </xdr:nvGraphicFramePr>
      <xdr:xfrm>
        <a:off x="5876925" y="4248150"/>
        <a:ext cx="42005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20</xdr:row>
      <xdr:rowOff>152400</xdr:rowOff>
    </xdr:from>
    <xdr:to>
      <xdr:col>18</xdr:col>
      <xdr:colOff>428625</xdr:colOff>
      <xdr:row>36</xdr:row>
      <xdr:rowOff>85725</xdr:rowOff>
    </xdr:to>
    <xdr:graphicFrame>
      <xdr:nvGraphicFramePr>
        <xdr:cNvPr id="2" name="Chart 4"/>
        <xdr:cNvGraphicFramePr/>
      </xdr:nvGraphicFramePr>
      <xdr:xfrm>
        <a:off x="7086600" y="3390900"/>
        <a:ext cx="43148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Projects\ptsm_one\Maureen\detectors\SMART\Lubljana\64-4\64-4_neg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g10"/>
      <sheetName val="neg20"/>
    </sheetNames>
    <sheetDataSet>
      <sheetData sheetId="1">
        <row r="5">
          <cell r="A5">
            <v>0.069896</v>
          </cell>
          <cell r="I5">
            <v>0.023284177846767937</v>
          </cell>
        </row>
        <row r="6">
          <cell r="A6">
            <v>4.777</v>
          </cell>
          <cell r="I6">
            <v>0.17291778171188601</v>
          </cell>
        </row>
        <row r="7">
          <cell r="A7">
            <v>9.6846</v>
          </cell>
          <cell r="I7">
            <v>0.2304779674038303</v>
          </cell>
        </row>
        <row r="8">
          <cell r="A8">
            <v>14.626</v>
          </cell>
          <cell r="I8">
            <v>0.2761522782562956</v>
          </cell>
        </row>
        <row r="9">
          <cell r="A9">
            <v>19.569</v>
          </cell>
          <cell r="I9">
            <v>0.30419352502353875</v>
          </cell>
        </row>
        <row r="10">
          <cell r="A10">
            <v>24.512</v>
          </cell>
          <cell r="I10">
            <v>0.3342352379436575</v>
          </cell>
        </row>
        <row r="11">
          <cell r="A11">
            <v>29.419</v>
          </cell>
          <cell r="I11">
            <v>0.3661726242371403</v>
          </cell>
        </row>
        <row r="12">
          <cell r="A12">
            <v>34.372</v>
          </cell>
          <cell r="I12">
            <v>0.4053662773863526</v>
          </cell>
        </row>
        <row r="13">
          <cell r="A13">
            <v>39.336</v>
          </cell>
          <cell r="I13">
            <v>0.43438240130728417</v>
          </cell>
        </row>
        <row r="14">
          <cell r="A14">
            <v>44.301</v>
          </cell>
          <cell r="I14">
            <v>0.45066311858878066</v>
          </cell>
        </row>
        <row r="15">
          <cell r="A15">
            <v>49.237</v>
          </cell>
          <cell r="I15">
            <v>0.4741851354250167</v>
          </cell>
        </row>
        <row r="16">
          <cell r="A16">
            <v>54.153</v>
          </cell>
          <cell r="I16">
            <v>0.5013428827215757</v>
          </cell>
        </row>
        <row r="17">
          <cell r="A17">
            <v>59.127</v>
          </cell>
          <cell r="I17">
            <v>0.5184801125842531</v>
          </cell>
        </row>
        <row r="18">
          <cell r="A18">
            <v>64.07</v>
          </cell>
          <cell r="I18">
            <v>0.5407214769420913</v>
          </cell>
        </row>
        <row r="19">
          <cell r="A19">
            <v>69.035</v>
          </cell>
          <cell r="I19">
            <v>0.562369449949119</v>
          </cell>
        </row>
        <row r="20">
          <cell r="A20">
            <v>73.996</v>
          </cell>
          <cell r="I20">
            <v>0.6009185469217233</v>
          </cell>
        </row>
        <row r="21">
          <cell r="A21">
            <v>78.946</v>
          </cell>
          <cell r="I21">
            <v>0.6301859048419284</v>
          </cell>
        </row>
        <row r="22">
          <cell r="A22">
            <v>83.827</v>
          </cell>
          <cell r="I22">
            <v>0.6358819076457228</v>
          </cell>
        </row>
        <row r="23">
          <cell r="A23">
            <v>88.878</v>
          </cell>
          <cell r="I23">
            <v>0.6460643910843114</v>
          </cell>
        </row>
        <row r="24">
          <cell r="A24">
            <v>93.75</v>
          </cell>
          <cell r="I24">
            <v>0.6733898767055202</v>
          </cell>
        </row>
        <row r="25">
          <cell r="A25">
            <v>98.789</v>
          </cell>
          <cell r="I25">
            <v>0.6854457029082481</v>
          </cell>
        </row>
        <row r="26">
          <cell r="A26">
            <v>103.86</v>
          </cell>
          <cell r="I26">
            <v>0.7152101355493494</v>
          </cell>
        </row>
        <row r="27">
          <cell r="A27">
            <v>108.8</v>
          </cell>
          <cell r="I27">
            <v>0.7294959530343558</v>
          </cell>
        </row>
        <row r="28">
          <cell r="A28">
            <v>113.69</v>
          </cell>
          <cell r="I28">
            <v>0.7314269792065758</v>
          </cell>
        </row>
        <row r="29">
          <cell r="A29">
            <v>118.68</v>
          </cell>
          <cell r="I29">
            <v>0.7524858908895458</v>
          </cell>
        </row>
        <row r="30">
          <cell r="A30">
            <v>123.56</v>
          </cell>
          <cell r="I30">
            <v>0.7769289110046431</v>
          </cell>
        </row>
        <row r="31">
          <cell r="A31">
            <v>128.57</v>
          </cell>
          <cell r="I31">
            <v>0.7801326225458326</v>
          </cell>
        </row>
        <row r="32">
          <cell r="A32">
            <v>133.43</v>
          </cell>
          <cell r="I32">
            <v>0.7988891636391303</v>
          </cell>
        </row>
        <row r="33">
          <cell r="A33">
            <v>138.39</v>
          </cell>
          <cell r="I33">
            <v>0.8215319615053596</v>
          </cell>
        </row>
        <row r="34">
          <cell r="A34">
            <v>143.46</v>
          </cell>
          <cell r="I34">
            <v>0.8277003724651675</v>
          </cell>
        </row>
        <row r="35">
          <cell r="A35">
            <v>148.34</v>
          </cell>
          <cell r="I35">
            <v>0.8395802098950524</v>
          </cell>
        </row>
        <row r="36">
          <cell r="A36">
            <v>153.26</v>
          </cell>
          <cell r="I36">
            <v>0.8510810756043687</v>
          </cell>
        </row>
        <row r="37">
          <cell r="A37">
            <v>158.33</v>
          </cell>
          <cell r="I37">
            <v>0.8604441530771123</v>
          </cell>
        </row>
        <row r="38">
          <cell r="A38">
            <v>163.27</v>
          </cell>
          <cell r="I38">
            <v>0.8620689655172414</v>
          </cell>
        </row>
        <row r="39">
          <cell r="A39">
            <v>168.16</v>
          </cell>
          <cell r="I39">
            <v>0.8233356857210069</v>
          </cell>
        </row>
        <row r="40">
          <cell r="A40">
            <v>173.14</v>
          </cell>
          <cell r="I40">
            <v>4.2424242424242425E-48</v>
          </cell>
        </row>
        <row r="41">
          <cell r="A41">
            <v>178.18</v>
          </cell>
          <cell r="I41">
            <v>0.906540038851716</v>
          </cell>
        </row>
        <row r="42">
          <cell r="A42">
            <v>182.97</v>
          </cell>
          <cell r="I42">
            <v>0.9113792205537713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13" sqref="B13"/>
    </sheetView>
  </sheetViews>
  <sheetFormatPr defaultColWidth="9.140625" defaultRowHeight="12.75"/>
  <sheetData>
    <row r="1" spans="1:5" ht="12.75">
      <c r="A1" t="s">
        <v>9</v>
      </c>
      <c r="E1" t="s">
        <v>20</v>
      </c>
    </row>
    <row r="2" spans="1:7" ht="12.75">
      <c r="A2" t="str">
        <f>'pre-anneal'!L1</f>
        <v>Voltage </v>
      </c>
      <c r="B2" t="str">
        <f>'pre-anneal'!M1</f>
        <v>eff at 1fC</v>
      </c>
      <c r="C2" t="str">
        <f>'pre-anneal'!N1</f>
        <v>med Q</v>
      </c>
      <c r="E2" t="e">
        <f>#REF!</f>
        <v>#REF!</v>
      </c>
      <c r="F2" t="e">
        <f>#REF!</f>
        <v>#REF!</v>
      </c>
      <c r="G2" t="e">
        <f>#REF!</f>
        <v>#REF!</v>
      </c>
    </row>
    <row r="3" spans="1:7" ht="12.75">
      <c r="A3">
        <f>'pre-anneal'!L2</f>
        <v>150</v>
      </c>
      <c r="B3">
        <f>'pre-anneal'!M2</f>
        <v>0.17016029593094945</v>
      </c>
      <c r="C3">
        <f>'pre-anneal'!N2</f>
        <v>0</v>
      </c>
      <c r="E3" t="e">
        <f>#REF!</f>
        <v>#REF!</v>
      </c>
      <c r="F3" t="e">
        <f>#REF!</f>
        <v>#REF!</v>
      </c>
      <c r="G3" t="e">
        <f>#REF!</f>
        <v>#REF!</v>
      </c>
    </row>
    <row r="4" spans="1:7" ht="12.75">
      <c r="A4">
        <f>'pre-anneal'!L3</f>
        <v>170</v>
      </c>
      <c r="C4">
        <f>'pre-anneal'!N3</f>
        <v>0</v>
      </c>
      <c r="E4" t="e">
        <f>#REF!</f>
        <v>#REF!</v>
      </c>
      <c r="F4" t="e">
        <f>#REF!</f>
        <v>#REF!</v>
      </c>
      <c r="G4" t="e">
        <f>#REF!</f>
        <v>#REF!</v>
      </c>
    </row>
    <row r="5" spans="1:7" ht="12.75">
      <c r="A5">
        <f>'pre-anneal'!L4</f>
        <v>200</v>
      </c>
      <c r="B5">
        <f>'pre-anneal'!M4</f>
        <v>0.20425013356766256</v>
      </c>
      <c r="C5">
        <f>'pre-anneal'!N4</f>
        <v>0</v>
      </c>
      <c r="E5" t="e">
        <f>#REF!</f>
        <v>#REF!</v>
      </c>
      <c r="F5" t="e">
        <f>#REF!</f>
        <v>#REF!</v>
      </c>
      <c r="G5" t="e">
        <f>#REF!</f>
        <v>#REF!</v>
      </c>
    </row>
    <row r="6" spans="1:7" ht="12.75">
      <c r="A6">
        <f>'pre-anneal'!L5</f>
        <v>250</v>
      </c>
      <c r="B6">
        <f>'pre-anneal'!M5</f>
        <v>0.3686637763041556</v>
      </c>
      <c r="C6">
        <f>'pre-anneal'!N5</f>
        <v>0.89</v>
      </c>
      <c r="E6" t="e">
        <f>#REF!</f>
        <v>#REF!</v>
      </c>
      <c r="F6" t="e">
        <f>#REF!</f>
        <v>#REF!</v>
      </c>
      <c r="G6" t="e">
        <f>#REF!</f>
        <v>#REF!</v>
      </c>
    </row>
    <row r="7" spans="1:7" ht="12.75">
      <c r="A7">
        <f>'pre-anneal'!L6</f>
        <v>300</v>
      </c>
      <c r="B7">
        <f>'pre-anneal'!M6</f>
        <v>0.5888608941532257</v>
      </c>
      <c r="C7">
        <f>'pre-anneal'!N6</f>
        <v>1.12</v>
      </c>
      <c r="E7" t="e">
        <f>#REF!</f>
        <v>#REF!</v>
      </c>
      <c r="F7" t="e">
        <f>#REF!</f>
        <v>#REF!</v>
      </c>
      <c r="G7" t="e">
        <f>#REF!</f>
        <v>#REF!</v>
      </c>
    </row>
    <row r="8" spans="1:7" ht="12.75">
      <c r="A8">
        <f>'pre-anneal'!L7</f>
        <v>350</v>
      </c>
      <c r="B8">
        <f>'pre-anneal'!M7</f>
        <v>0.6899128268991283</v>
      </c>
      <c r="C8">
        <f>'pre-anneal'!N7</f>
        <v>1.34</v>
      </c>
      <c r="E8" t="e">
        <f>#REF!</f>
        <v>#REF!</v>
      </c>
      <c r="F8" t="e">
        <f>#REF!</f>
        <v>#REF!</v>
      </c>
      <c r="G8" t="e">
        <f>#REF!</f>
        <v>#REF!</v>
      </c>
    </row>
    <row r="9" spans="1:7" ht="12.75">
      <c r="A9">
        <f>'pre-anneal'!L8</f>
        <v>400</v>
      </c>
      <c r="B9">
        <f>'pre-anneal'!M8</f>
        <v>0.8390646492434664</v>
      </c>
      <c r="C9">
        <f>'pre-anneal'!N8</f>
        <v>1.63</v>
      </c>
      <c r="E9" t="e">
        <f>#REF!</f>
        <v>#REF!</v>
      </c>
      <c r="F9" t="e">
        <f>#REF!</f>
        <v>#REF!</v>
      </c>
      <c r="G9" t="e">
        <f>#REF!</f>
        <v>#REF!</v>
      </c>
    </row>
    <row r="10" spans="1:7" ht="12.75">
      <c r="A10">
        <f>'pre-anneal'!L9</f>
        <v>450</v>
      </c>
      <c r="B10">
        <f>'pre-anneal'!M9</f>
        <v>0.879284649776453</v>
      </c>
      <c r="C10">
        <f>'pre-anneal'!N9</f>
        <v>1.85</v>
      </c>
      <c r="E10" t="e">
        <f>#REF!</f>
        <v>#REF!</v>
      </c>
      <c r="F10" t="e">
        <f>#REF!</f>
        <v>#REF!</v>
      </c>
      <c r="G10" t="e">
        <f>#REF!</f>
        <v>#REF!</v>
      </c>
    </row>
    <row r="11" spans="1:7" ht="12.75">
      <c r="A11">
        <f>'pre-anneal'!L10</f>
        <v>500</v>
      </c>
      <c r="B11">
        <f>'pre-anneal'!M10</f>
        <v>0.8554216867469879</v>
      </c>
      <c r="C11">
        <f>'pre-anneal'!N10</f>
        <v>2.17</v>
      </c>
      <c r="E11" t="e">
        <f>#REF!</f>
        <v>#REF!</v>
      </c>
      <c r="F11" t="e">
        <f>#REF!</f>
        <v>#REF!</v>
      </c>
      <c r="G11" t="e">
        <f>#REF!</f>
        <v>#REF!</v>
      </c>
    </row>
    <row r="12" spans="1:7" ht="12.75">
      <c r="A12">
        <f>'pre-anneal'!L11</f>
        <v>600</v>
      </c>
      <c r="C12">
        <f>'pre-anneal'!N11</f>
        <v>2.7</v>
      </c>
      <c r="E12" t="e">
        <f>#REF!</f>
        <v>#REF!</v>
      </c>
      <c r="F12" t="e">
        <f>#REF!</f>
        <v>#REF!</v>
      </c>
      <c r="G12" t="e">
        <f>#REF!</f>
        <v>#REF!</v>
      </c>
    </row>
    <row r="13" spans="1:7" ht="12.75">
      <c r="A13">
        <f>'pre-anneal'!L12</f>
        <v>700</v>
      </c>
      <c r="B13">
        <f>'pre-anneal'!M12</f>
        <v>0</v>
      </c>
      <c r="C13">
        <f>'pre-anneal'!N12</f>
        <v>2.83</v>
      </c>
      <c r="E13" t="e">
        <f>#REF!</f>
        <v>#REF!</v>
      </c>
      <c r="F13" t="e">
        <f>#REF!</f>
        <v>#REF!</v>
      </c>
      <c r="G13" t="e">
        <f>#REF!</f>
        <v>#REF!</v>
      </c>
    </row>
    <row r="14" spans="1:7" ht="12.75">
      <c r="A14">
        <f>'pre-anneal'!L13</f>
        <v>800</v>
      </c>
      <c r="B14">
        <f>'pre-anneal'!M13</f>
        <v>0</v>
      </c>
      <c r="C14">
        <f>'pre-anneal'!N13</f>
        <v>3.4</v>
      </c>
      <c r="E14" t="e">
        <f>#REF!</f>
        <v>#REF!</v>
      </c>
      <c r="F14" t="e">
        <f>#REF!</f>
        <v>#REF!</v>
      </c>
      <c r="G14" t="e">
        <f>#REF!</f>
        <v>#REF!</v>
      </c>
    </row>
    <row r="15" spans="5:7" ht="12.75">
      <c r="E15" t="e">
        <f>#REF!</f>
        <v>#REF!</v>
      </c>
      <c r="F15" t="e">
        <f>#REF!</f>
        <v>#REF!</v>
      </c>
      <c r="G15" t="e">
        <f>#REF!</f>
        <v>#REF!</v>
      </c>
    </row>
    <row r="17" spans="1:5" ht="12.75">
      <c r="A17" t="s">
        <v>16</v>
      </c>
      <c r="E17" t="s">
        <v>17</v>
      </c>
    </row>
    <row r="18" spans="1:7" ht="12.75">
      <c r="A18" t="e">
        <f>#REF!</f>
        <v>#REF!</v>
      </c>
      <c r="B18" t="e">
        <f>#REF!</f>
        <v>#REF!</v>
      </c>
      <c r="C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</row>
    <row r="19" spans="1:7" ht="12.75">
      <c r="A19" t="e">
        <f>#REF!</f>
        <v>#REF!</v>
      </c>
      <c r="B19" t="e">
        <f>#REF!</f>
        <v>#REF!</v>
      </c>
      <c r="C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</row>
    <row r="20" spans="1:7" ht="12.75">
      <c r="A20" t="e">
        <f>#REF!</f>
        <v>#REF!</v>
      </c>
      <c r="B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</row>
    <row r="21" spans="1:7" ht="12.75">
      <c r="A21" t="e">
        <f>#REF!</f>
        <v>#REF!</v>
      </c>
      <c r="B21" t="e">
        <f>#REF!</f>
        <v>#REF!</v>
      </c>
      <c r="C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</row>
    <row r="22" spans="1:7" ht="12.75">
      <c r="A22" t="e">
        <f>#REF!</f>
        <v>#REF!</v>
      </c>
      <c r="B22" t="e">
        <f>#REF!</f>
        <v>#REF!</v>
      </c>
      <c r="C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</row>
    <row r="23" spans="1:7" ht="12.75">
      <c r="A23" t="e">
        <f>#REF!</f>
        <v>#REF!</v>
      </c>
      <c r="B23" t="e">
        <f>#REF!</f>
        <v>#REF!</v>
      </c>
      <c r="C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</row>
    <row r="24" spans="1:7" ht="12.75">
      <c r="A24" t="e">
        <f>#REF!</f>
        <v>#REF!</v>
      </c>
      <c r="B24" t="e">
        <f>#REF!</f>
        <v>#REF!</v>
      </c>
      <c r="C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</row>
    <row r="25" spans="1:7" ht="12.75">
      <c r="A25" t="e">
        <f>#REF!</f>
        <v>#REF!</v>
      </c>
      <c r="B25" t="e">
        <f>#REF!</f>
        <v>#REF!</v>
      </c>
      <c r="C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</row>
    <row r="26" spans="1:7" ht="12.75">
      <c r="A26" t="e">
        <f>#REF!</f>
        <v>#REF!</v>
      </c>
      <c r="B26" t="e">
        <f>#REF!</f>
        <v>#REF!</v>
      </c>
      <c r="C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</row>
    <row r="27" spans="1:7" ht="12.75">
      <c r="A27" t="e">
        <f>#REF!</f>
        <v>#REF!</v>
      </c>
      <c r="B27" t="e">
        <f>#REF!</f>
        <v>#REF!</v>
      </c>
      <c r="C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</row>
    <row r="28" spans="1:7" ht="12.75">
      <c r="A28" t="e">
        <f>#REF!</f>
        <v>#REF!</v>
      </c>
      <c r="B28" t="e">
        <f>#REF!</f>
        <v>#REF!</v>
      </c>
      <c r="C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</row>
    <row r="29" spans="1:7" ht="12.75">
      <c r="A29" t="e">
        <f>#REF!</f>
        <v>#REF!</v>
      </c>
      <c r="B29" t="e">
        <f>#REF!</f>
        <v>#REF!</v>
      </c>
      <c r="C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</row>
    <row r="30" spans="1:7" ht="12.75">
      <c r="A30" t="e">
        <f>#REF!</f>
        <v>#REF!</v>
      </c>
      <c r="B30" t="e">
        <f>#REF!</f>
        <v>#REF!</v>
      </c>
      <c r="C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</row>
    <row r="31" spans="5:7" ht="12.75">
      <c r="E31" t="e">
        <f>#REF!</f>
        <v>#REF!</v>
      </c>
      <c r="F31" t="e">
        <f>#REF!</f>
        <v>#REF!</v>
      </c>
      <c r="G31" t="e">
        <f>#REF!</f>
        <v>#REF!</v>
      </c>
    </row>
    <row r="32" spans="1:7" ht="12.75">
      <c r="A32" t="s">
        <v>30</v>
      </c>
      <c r="E32" t="e">
        <f>#REF!</f>
        <v>#REF!</v>
      </c>
      <c r="F32" t="e">
        <f>#REF!</f>
        <v>#REF!</v>
      </c>
      <c r="G32" t="e">
        <f>#REF!</f>
        <v>#REF!</v>
      </c>
    </row>
    <row r="33" spans="1:7" ht="12.75">
      <c r="A33" t="e">
        <f>#REF!</f>
        <v>#REF!</v>
      </c>
      <c r="B33" t="e">
        <f>#REF!</f>
        <v>#REF!</v>
      </c>
      <c r="C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</row>
    <row r="34" spans="1:7" ht="12.75">
      <c r="A34" t="e">
        <f>#REF!</f>
        <v>#REF!</v>
      </c>
      <c r="B34" t="e">
        <f>#REF!</f>
        <v>#REF!</v>
      </c>
      <c r="C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</row>
    <row r="35" spans="1:3" ht="12.75">
      <c r="A35" t="e">
        <f>#REF!</f>
        <v>#REF!</v>
      </c>
      <c r="B35" t="e">
        <f>#REF!</f>
        <v>#REF!</v>
      </c>
      <c r="C35" t="e">
        <f>#REF!</f>
        <v>#REF!</v>
      </c>
    </row>
    <row r="36" spans="1:3" ht="12.75">
      <c r="A36" t="e">
        <f>#REF!</f>
        <v>#REF!</v>
      </c>
      <c r="B36" t="e">
        <f>#REF!</f>
        <v>#REF!</v>
      </c>
      <c r="C36" t="e">
        <f>#REF!</f>
        <v>#REF!</v>
      </c>
    </row>
    <row r="37" spans="1:3" ht="12.75">
      <c r="A37" t="e">
        <f>#REF!</f>
        <v>#REF!</v>
      </c>
      <c r="B37" t="e">
        <f>#REF!</f>
        <v>#REF!</v>
      </c>
      <c r="C37" t="e">
        <f>#REF!</f>
        <v>#REF!</v>
      </c>
    </row>
    <row r="38" spans="1:3" ht="12.75">
      <c r="A38" t="e">
        <f>#REF!</f>
        <v>#REF!</v>
      </c>
      <c r="B38" t="e">
        <f>#REF!</f>
        <v>#REF!</v>
      </c>
      <c r="C38" t="e">
        <f>#REF!</f>
        <v>#REF!</v>
      </c>
    </row>
    <row r="39" spans="1:3" ht="12.75">
      <c r="A39" t="e">
        <f>#REF!</f>
        <v>#REF!</v>
      </c>
      <c r="B39" t="e">
        <f>#REF!</f>
        <v>#REF!</v>
      </c>
      <c r="C39" t="e">
        <f>#REF!</f>
        <v>#REF!</v>
      </c>
    </row>
    <row r="40" spans="1:3" ht="12.75">
      <c r="A40" t="e">
        <f>#REF!</f>
        <v>#REF!</v>
      </c>
      <c r="B40" t="e">
        <f>#REF!</f>
        <v>#REF!</v>
      </c>
      <c r="C40" t="e">
        <f>#REF!</f>
        <v>#REF!</v>
      </c>
    </row>
    <row r="41" spans="1:3" ht="12.75">
      <c r="A41" t="e">
        <f>#REF!</f>
        <v>#REF!</v>
      </c>
      <c r="B41" t="e">
        <f>#REF!</f>
        <v>#REF!</v>
      </c>
      <c r="C41" t="e">
        <f>#REF!</f>
        <v>#REF!</v>
      </c>
    </row>
    <row r="42" spans="1:3" ht="12.75">
      <c r="A42" t="e">
        <f>#REF!</f>
        <v>#REF!</v>
      </c>
      <c r="B42" t="e">
        <f>#REF!</f>
        <v>#REF!</v>
      </c>
      <c r="C42" s="4" t="e">
        <f>#REF!</f>
        <v>#REF!</v>
      </c>
    </row>
    <row r="43" spans="1:3" ht="12.75">
      <c r="A43" t="e">
        <f>#REF!</f>
        <v>#REF!</v>
      </c>
      <c r="B43" t="e">
        <f>#REF!</f>
        <v>#REF!</v>
      </c>
      <c r="C43" s="4" t="e">
        <f>#REF!</f>
        <v>#REF!</v>
      </c>
    </row>
    <row r="44" spans="1:3" ht="12.75">
      <c r="A44" t="e">
        <f>#REF!</f>
        <v>#REF!</v>
      </c>
      <c r="B44" t="e">
        <f>#REF!</f>
        <v>#REF!</v>
      </c>
      <c r="C44" s="4" t="e">
        <f>#REF!</f>
        <v>#REF!</v>
      </c>
    </row>
    <row r="45" spans="1:3" ht="12.75">
      <c r="A45" t="e">
        <f>#REF!</f>
        <v>#REF!</v>
      </c>
      <c r="B45" t="e">
        <f>#REF!</f>
        <v>#REF!</v>
      </c>
      <c r="C45" s="4" t="e">
        <f>#REF!</f>
        <v>#REF!</v>
      </c>
    </row>
    <row r="46" spans="1:3" ht="12.75">
      <c r="A46" t="e">
        <f>#REF!</f>
        <v>#REF!</v>
      </c>
      <c r="B46" t="e">
        <f>#REF!</f>
        <v>#REF!</v>
      </c>
      <c r="C46" s="4" t="e">
        <f>#REF!</f>
        <v>#REF!</v>
      </c>
    </row>
    <row r="47" spans="1:3" ht="12.75">
      <c r="A47" t="e">
        <f>#REF!</f>
        <v>#REF!</v>
      </c>
      <c r="B47" t="e">
        <f>#REF!</f>
        <v>#REF!</v>
      </c>
      <c r="C47" s="4" t="e">
        <f>#REF!</f>
        <v>#REF!</v>
      </c>
    </row>
    <row r="48" spans="1:3" ht="12.75">
      <c r="A48" t="e">
        <f>#REF!</f>
        <v>#REF!</v>
      </c>
      <c r="B48" t="e">
        <f>#REF!</f>
        <v>#REF!</v>
      </c>
      <c r="C48" s="4" t="e">
        <f>#REF!</f>
        <v>#REF!</v>
      </c>
    </row>
    <row r="49" spans="1:3" ht="12.75">
      <c r="A49" t="e">
        <f>#REF!</f>
        <v>#REF!</v>
      </c>
      <c r="B49" t="e">
        <f>#REF!</f>
        <v>#REF!</v>
      </c>
      <c r="C49" s="4" t="e">
        <f>#REF!</f>
        <v>#REF!</v>
      </c>
    </row>
    <row r="50" ht="12.75">
      <c r="C50" s="4"/>
    </row>
    <row r="51" ht="12.75">
      <c r="C51" s="4"/>
    </row>
    <row r="52" ht="12.75">
      <c r="C52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D13" sqref="D13"/>
    </sheetView>
  </sheetViews>
  <sheetFormatPr defaultColWidth="9.140625" defaultRowHeight="12.75"/>
  <cols>
    <col min="1" max="1" width="10.7109375" style="0" customWidth="1"/>
    <col min="2" max="3" width="9.7109375" style="0" customWidth="1"/>
  </cols>
  <sheetData>
    <row r="1" spans="1:4" ht="12.75">
      <c r="A1" t="s">
        <v>29</v>
      </c>
      <c r="D1">
        <v>0.56</v>
      </c>
    </row>
    <row r="2" spans="1:3" ht="12.75">
      <c r="A2" t="s">
        <v>18</v>
      </c>
      <c r="B2" t="s">
        <v>10</v>
      </c>
      <c r="C2" t="s">
        <v>14</v>
      </c>
    </row>
    <row r="3" spans="1:3" ht="12.75">
      <c r="A3">
        <f>t0</f>
        <v>0.56</v>
      </c>
      <c r="B3">
        <f>summary!$C$11</f>
        <v>2.17</v>
      </c>
      <c r="C3">
        <f>summary!B11</f>
        <v>0.8554216867469879</v>
      </c>
    </row>
    <row r="4" spans="1:3" ht="12.75">
      <c r="A4">
        <f>5+t0</f>
        <v>5.5600000000000005</v>
      </c>
      <c r="B4" t="e">
        <f>summary!$C$26</f>
        <v>#REF!</v>
      </c>
      <c r="C4" t="e">
        <f>summary!$B$26</f>
        <v>#REF!</v>
      </c>
    </row>
    <row r="5" spans="1:3" ht="12.75">
      <c r="A5">
        <f>10+t0</f>
        <v>10.56</v>
      </c>
      <c r="B5" t="e">
        <f>summary!$C$41</f>
        <v>#REF!</v>
      </c>
      <c r="C5" t="e">
        <f>summary!$B$41</f>
        <v>#REF!</v>
      </c>
    </row>
    <row r="6" spans="1:3" ht="12.75">
      <c r="A6">
        <f>80+t0</f>
        <v>80.56</v>
      </c>
      <c r="B6" t="e">
        <f>summary!G26</f>
        <v>#REF!</v>
      </c>
      <c r="C6" t="e">
        <f>summary!F26</f>
        <v>#REF!</v>
      </c>
    </row>
    <row r="7" spans="1:3" ht="12.75">
      <c r="A7">
        <f>10000+t0</f>
        <v>10000.56</v>
      </c>
      <c r="B7" t="e">
        <f>summary!G9</f>
        <v>#REF!</v>
      </c>
      <c r="C7" t="e">
        <f>summary!F9</f>
        <v>#REF!</v>
      </c>
    </row>
    <row r="10" ht="12.75">
      <c r="A10" t="s">
        <v>32</v>
      </c>
    </row>
    <row r="11" ht="12.75">
      <c r="A11" t="s">
        <v>18</v>
      </c>
    </row>
    <row r="19" ht="12.75">
      <c r="A19" t="s">
        <v>31</v>
      </c>
    </row>
    <row r="20" spans="1:2" ht="12.75">
      <c r="A20" t="s">
        <v>18</v>
      </c>
      <c r="B20" t="s">
        <v>19</v>
      </c>
    </row>
    <row r="21" spans="1:2" ht="12.75">
      <c r="A21">
        <f>t0</f>
        <v>0.56</v>
      </c>
      <c r="B21">
        <v>307.1</v>
      </c>
    </row>
    <row r="22" spans="1:2" ht="12.75">
      <c r="A22">
        <f>5+t0</f>
        <v>5.5600000000000005</v>
      </c>
      <c r="B22">
        <v>289.7</v>
      </c>
    </row>
    <row r="23" spans="1:2" ht="12.75">
      <c r="A23">
        <f>10+t0</f>
        <v>10.56</v>
      </c>
      <c r="B23">
        <v>289.2</v>
      </c>
    </row>
    <row r="24" spans="1:2" ht="12.75">
      <c r="A24">
        <f>80+t0</f>
        <v>80.56</v>
      </c>
      <c r="B24">
        <v>300</v>
      </c>
    </row>
    <row r="25" spans="1:2" ht="12.75">
      <c r="A25">
        <v>10001.96</v>
      </c>
      <c r="B25">
        <v>400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7"/>
  <sheetViews>
    <sheetView workbookViewId="0" topLeftCell="A60">
      <selection activeCell="P8" sqref="P8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26</v>
      </c>
      <c r="C1" t="s">
        <v>36</v>
      </c>
      <c r="E1" t="s">
        <v>37</v>
      </c>
      <c r="H1" t="s">
        <v>35</v>
      </c>
      <c r="L1" t="s">
        <v>13</v>
      </c>
      <c r="M1" t="s">
        <v>14</v>
      </c>
      <c r="N1" t="s">
        <v>10</v>
      </c>
      <c r="Q1" t="s">
        <v>7</v>
      </c>
      <c r="R1" t="s">
        <v>7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15</v>
      </c>
      <c r="L2">
        <v>150</v>
      </c>
      <c r="M2" t="e">
        <f>#REF!</f>
        <v>#REF!</v>
      </c>
      <c r="S2" s="4"/>
      <c r="T2" s="4"/>
      <c r="U2" s="4"/>
      <c r="V2" s="4"/>
      <c r="W2" s="4"/>
      <c r="X2" s="4"/>
      <c r="Y2" s="4"/>
    </row>
    <row r="3" spans="3:25" ht="12.75">
      <c r="C3">
        <v>115.27310909090909</v>
      </c>
      <c r="E3">
        <v>-12.134600000000002</v>
      </c>
      <c r="L3">
        <v>170</v>
      </c>
      <c r="M3" t="e">
        <f>#REF!</f>
        <v>#REF!</v>
      </c>
      <c r="S3" s="5"/>
      <c r="T3" s="5"/>
      <c r="U3" s="5"/>
      <c r="V3" s="4"/>
      <c r="W3" s="5"/>
      <c r="X3" s="5"/>
      <c r="Y3" s="6"/>
    </row>
    <row r="4" spans="8:25" ht="12.75">
      <c r="H4">
        <v>1.028089</v>
      </c>
      <c r="L4">
        <v>200</v>
      </c>
      <c r="M4">
        <f>G22</f>
        <v>0.20082575789473683</v>
      </c>
      <c r="N4">
        <f>N23</f>
        <v>0</v>
      </c>
      <c r="S4" s="5"/>
      <c r="T4" s="5"/>
      <c r="U4" s="5"/>
      <c r="V4" s="4"/>
      <c r="W4" s="5"/>
      <c r="X4" s="5"/>
      <c r="Y4" s="5"/>
    </row>
    <row r="5" spans="12:25" ht="12.75">
      <c r="L5">
        <v>250</v>
      </c>
      <c r="M5">
        <f>G33</f>
        <v>0.40791781175010344</v>
      </c>
      <c r="N5">
        <f>N31</f>
        <v>0.97</v>
      </c>
      <c r="S5" s="5"/>
      <c r="T5" s="5"/>
      <c r="U5" s="5"/>
      <c r="V5" s="4"/>
      <c r="W5" s="5"/>
      <c r="X5" s="5"/>
      <c r="Y5" s="5"/>
    </row>
    <row r="6" spans="12:25" ht="12.75">
      <c r="L6">
        <v>300</v>
      </c>
      <c r="M6">
        <f>G43</f>
        <v>0.5898234246115078</v>
      </c>
      <c r="N6">
        <f>N45</f>
        <v>1.11</v>
      </c>
      <c r="S6" s="5"/>
      <c r="T6" s="5"/>
      <c r="U6" s="5"/>
      <c r="V6" s="4"/>
      <c r="W6" s="5"/>
      <c r="X6" s="5"/>
      <c r="Y6" s="5"/>
    </row>
    <row r="7" spans="12:25" ht="12.75">
      <c r="L7">
        <v>350</v>
      </c>
      <c r="M7">
        <f>G55</f>
        <v>0.7976552586206898</v>
      </c>
      <c r="N7" s="4">
        <f>N55</f>
        <v>1.29</v>
      </c>
      <c r="S7" s="5"/>
      <c r="T7" s="5"/>
      <c r="U7" s="5"/>
      <c r="V7" s="4"/>
      <c r="W7" s="5"/>
      <c r="X7" s="5"/>
      <c r="Y7" s="5"/>
    </row>
    <row r="8" spans="12:25" ht="12.75">
      <c r="L8">
        <v>400</v>
      </c>
      <c r="M8">
        <f>G70</f>
        <v>0.8486012736500204</v>
      </c>
      <c r="N8">
        <f>N71</f>
        <v>1.51</v>
      </c>
      <c r="S8" s="5"/>
      <c r="T8" s="8"/>
      <c r="U8" s="5"/>
      <c r="V8" s="4"/>
      <c r="W8" s="5"/>
      <c r="X8" s="5"/>
      <c r="Y8" s="5"/>
    </row>
    <row r="9" spans="12:25" ht="12.75">
      <c r="L9">
        <v>500</v>
      </c>
      <c r="M9">
        <f>G85</f>
        <v>0.9319255422053232</v>
      </c>
      <c r="N9">
        <f>N86</f>
        <v>2.01</v>
      </c>
      <c r="O9" s="4"/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600</v>
      </c>
      <c r="N10" s="12">
        <f>N102</f>
        <v>2.67</v>
      </c>
      <c r="O10" s="12"/>
      <c r="P10" s="4"/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700</v>
      </c>
      <c r="M11">
        <f>G103</f>
        <v>0</v>
      </c>
      <c r="N11" s="12">
        <f>N116</f>
        <v>3.11</v>
      </c>
      <c r="O11" s="12"/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800</v>
      </c>
      <c r="M12">
        <f>G116</f>
        <v>0</v>
      </c>
      <c r="N12" s="13">
        <f>N129</f>
        <v>3.4</v>
      </c>
      <c r="O12" s="4"/>
      <c r="P12" s="4"/>
      <c r="Q12" s="4"/>
      <c r="S12" s="4"/>
      <c r="T12" s="4"/>
      <c r="U12" s="4"/>
      <c r="V12" s="4"/>
      <c r="W12" s="4"/>
      <c r="X12" s="4"/>
      <c r="Y12" s="4"/>
    </row>
    <row r="13" spans="15:25" ht="12.75">
      <c r="O13" s="4"/>
      <c r="P13" s="4"/>
      <c r="Q13" s="4"/>
      <c r="S13" s="4"/>
      <c r="T13" s="4"/>
      <c r="U13" s="4"/>
      <c r="V13" s="4"/>
      <c r="W13" s="4"/>
      <c r="X13" s="4"/>
      <c r="Y13" s="4"/>
    </row>
    <row r="14" spans="14:17" ht="12.75">
      <c r="N14" s="4"/>
      <c r="O14" s="4"/>
      <c r="P14" s="4"/>
      <c r="Q14" s="4"/>
    </row>
    <row r="15" spans="14:17" ht="12.75">
      <c r="N15" s="4"/>
      <c r="O15" s="4"/>
      <c r="P15" s="5"/>
      <c r="Q15" s="4"/>
    </row>
    <row r="16" spans="14:17" ht="12.75">
      <c r="N16" s="4"/>
      <c r="O16" s="4"/>
      <c r="P16" s="4"/>
      <c r="Q16" s="4"/>
    </row>
    <row r="17" spans="14:17" ht="12.75">
      <c r="N17" s="4"/>
      <c r="O17" s="4"/>
      <c r="P17" s="4"/>
      <c r="Q17" s="4"/>
    </row>
    <row r="18" spans="14:17" ht="12.75">
      <c r="N18" s="4"/>
      <c r="O18" s="4"/>
      <c r="P18" s="4"/>
      <c r="Q18" s="4"/>
    </row>
    <row r="19" spans="1:17" ht="12.75">
      <c r="A19" t="s">
        <v>11</v>
      </c>
      <c r="B19" t="s">
        <v>23</v>
      </c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N21" s="4"/>
      <c r="O21" s="4"/>
      <c r="P21" s="4"/>
      <c r="Q21" s="4"/>
    </row>
    <row r="22" spans="1:17" ht="12.75">
      <c r="A22">
        <v>105</v>
      </c>
      <c r="B22">
        <f>(A22-offset1)/gain1</f>
        <v>1.0161485269528288</v>
      </c>
      <c r="D22">
        <v>2023</v>
      </c>
      <c r="E22">
        <v>51</v>
      </c>
      <c r="F22">
        <v>342</v>
      </c>
      <c r="G22">
        <f>1.019459*(E22+F22)/(D22-14*2)</f>
        <v>0.20082575789473683</v>
      </c>
      <c r="N22" s="4"/>
      <c r="O22" s="4"/>
      <c r="P22" s="4"/>
      <c r="Q22" s="4"/>
    </row>
    <row r="23" spans="14:17" ht="12.75">
      <c r="N23" s="4"/>
      <c r="O23" s="4"/>
      <c r="P23" s="4"/>
      <c r="Q23" s="4"/>
    </row>
    <row r="24" spans="1:17" ht="12.75">
      <c r="A24" s="1"/>
      <c r="P24" s="4"/>
      <c r="Q24" s="4"/>
    </row>
    <row r="25" spans="16:17" ht="12.75">
      <c r="P25" s="4"/>
      <c r="Q25" s="4"/>
    </row>
    <row r="26" spans="16:17" ht="12.75">
      <c r="P26" s="4"/>
      <c r="Q26" s="4"/>
    </row>
    <row r="29" spans="1:4" ht="12.75">
      <c r="A29" t="s">
        <v>8</v>
      </c>
      <c r="B29" t="s">
        <v>23</v>
      </c>
      <c r="C29" s="3"/>
      <c r="D29" s="3"/>
    </row>
    <row r="31" spans="1:15" ht="12.7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N31">
        <v>0.97</v>
      </c>
      <c r="O31">
        <f>-7.0604*N31^2+12.133*N31-4.6305</f>
        <v>0.49537963999999945</v>
      </c>
    </row>
    <row r="32" spans="1:15" ht="12.75">
      <c r="A32">
        <v>90</v>
      </c>
      <c r="B32">
        <f>(A32-offset1)/gain1</f>
        <v>0.8860227750034267</v>
      </c>
      <c r="D32">
        <v>1285</v>
      </c>
      <c r="E32">
        <v>94</v>
      </c>
      <c r="F32">
        <v>619</v>
      </c>
      <c r="G32">
        <f>corr2*(E32+F32)/(D32-14)</f>
        <v>0.5767328536585367</v>
      </c>
      <c r="N32">
        <f aca="true" t="shared" si="0" ref="N32:N38">N31+0.01</f>
        <v>0.98</v>
      </c>
      <c r="O32">
        <f aca="true" t="shared" si="1" ref="O32:O38">-7.0604*N32^2+12.133*N32-4.6305</f>
        <v>0.4790318399999993</v>
      </c>
    </row>
    <row r="33" spans="1:15" ht="12.75">
      <c r="A33" s="1">
        <v>105</v>
      </c>
      <c r="B33">
        <f>(A33-offset1)/gain1</f>
        <v>1.0161485269528288</v>
      </c>
      <c r="D33">
        <v>2445</v>
      </c>
      <c r="E33">
        <v>125</v>
      </c>
      <c r="F33">
        <v>834</v>
      </c>
      <c r="G33">
        <f>corr2*(E33+F33)/(D33-14*2)</f>
        <v>0.40791781175010344</v>
      </c>
      <c r="N33">
        <f t="shared" si="0"/>
        <v>0.99</v>
      </c>
      <c r="O33">
        <f t="shared" si="1"/>
        <v>0.4612719599999995</v>
      </c>
    </row>
    <row r="34" spans="1:15" ht="12.75">
      <c r="A34">
        <v>120</v>
      </c>
      <c r="B34">
        <f>(A34-offset1)/gain1</f>
        <v>1.1462742789022309</v>
      </c>
      <c r="D34">
        <v>2436</v>
      </c>
      <c r="E34">
        <v>87</v>
      </c>
      <c r="F34">
        <v>589</v>
      </c>
      <c r="G34">
        <f>1.019459*(E34+F34)/(D34-14*2)</f>
        <v>0.2861936395348837</v>
      </c>
      <c r="N34">
        <f t="shared" si="0"/>
        <v>1</v>
      </c>
      <c r="O34">
        <f t="shared" si="1"/>
        <v>0.44209999999999994</v>
      </c>
    </row>
    <row r="35" spans="14:15" ht="12.75">
      <c r="N35">
        <f t="shared" si="0"/>
        <v>1.01</v>
      </c>
      <c r="O35">
        <f t="shared" si="1"/>
        <v>0.4215159600000007</v>
      </c>
    </row>
    <row r="36" spans="14:16" ht="12.75">
      <c r="N36">
        <f t="shared" si="0"/>
        <v>1.02</v>
      </c>
      <c r="O36">
        <f t="shared" si="1"/>
        <v>0.39951984000000085</v>
      </c>
      <c r="P36" s="2"/>
    </row>
    <row r="37" spans="14:15" ht="12.75">
      <c r="N37">
        <f t="shared" si="0"/>
        <v>1.03</v>
      </c>
      <c r="O37">
        <f t="shared" si="1"/>
        <v>0.3761116400000013</v>
      </c>
    </row>
    <row r="38" spans="14:15" ht="12.75">
      <c r="N38">
        <f t="shared" si="0"/>
        <v>1.04</v>
      </c>
      <c r="O38">
        <f t="shared" si="1"/>
        <v>0.3512913599999985</v>
      </c>
    </row>
    <row r="40" spans="1:4" ht="12.75">
      <c r="A40" t="s">
        <v>24</v>
      </c>
      <c r="C40" s="3"/>
      <c r="D40" s="3"/>
    </row>
    <row r="42" spans="1: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</row>
    <row r="43" spans="1:7" ht="12.75">
      <c r="A43">
        <v>105</v>
      </c>
      <c r="B43">
        <f>(A43-offset1)/gain1</f>
        <v>1.0161485269528288</v>
      </c>
      <c r="D43">
        <v>2409</v>
      </c>
      <c r="E43">
        <v>180</v>
      </c>
      <c r="F43">
        <v>1186</v>
      </c>
      <c r="G43">
        <f>corr2*(E43+F43)/(D43-14*2)</f>
        <v>0.5898234246115078</v>
      </c>
    </row>
    <row r="44" spans="1:7" ht="12.75">
      <c r="A44">
        <v>120</v>
      </c>
      <c r="B44">
        <f>(A44-offset1)/gain1</f>
        <v>1.1462742789022309</v>
      </c>
      <c r="D44">
        <v>2558</v>
      </c>
      <c r="E44">
        <v>152</v>
      </c>
      <c r="F44">
        <v>985</v>
      </c>
      <c r="G44">
        <f>corr2*(E44+F44)/(D44-14*2)</f>
        <v>0.46203051106719367</v>
      </c>
    </row>
    <row r="45" spans="1:15" ht="12.75">
      <c r="A45">
        <v>150</v>
      </c>
      <c r="B45">
        <f>(A45-offset1)/gain1</f>
        <v>1.406525782801035</v>
      </c>
      <c r="D45">
        <v>2508</v>
      </c>
      <c r="E45">
        <v>58</v>
      </c>
      <c r="F45">
        <v>522</v>
      </c>
      <c r="G45">
        <f>corr2*(E45+F45)/(D45-14*2)</f>
        <v>0.2404401693548387</v>
      </c>
      <c r="N45" s="5">
        <v>1.11</v>
      </c>
      <c r="O45">
        <f>0.788*N45^3-2.4778*N45^2+1.6091*N45+0.6865</f>
        <v>0.4973968480000003</v>
      </c>
    </row>
    <row r="46" spans="1:15" ht="12.75">
      <c r="A46">
        <v>180</v>
      </c>
      <c r="B46">
        <f>(A46-offset1)/gain1</f>
        <v>1.6667772866998392</v>
      </c>
      <c r="D46">
        <v>2513</v>
      </c>
      <c r="E46">
        <v>41</v>
      </c>
      <c r="F46">
        <v>282</v>
      </c>
      <c r="G46">
        <f>corr2*(E46+F46)/(D46-14*2)</f>
        <v>0.13363088410462776</v>
      </c>
      <c r="N46" s="4">
        <f>N45+0.01</f>
        <v>1.12</v>
      </c>
      <c r="O46">
        <f>0.788*N46^3-2.4778*N46^2+1.6091*N46+0.6865</f>
        <v>0.4876229440000003</v>
      </c>
    </row>
    <row r="47" spans="14:15" ht="12.75">
      <c r="N47" s="4">
        <f>N46+0.01</f>
        <v>1.1300000000000001</v>
      </c>
      <c r="O47">
        <f>0.788*N47^3-2.4778*N47^2+1.6091*N47+0.6865</f>
        <v>0.47788301600000016</v>
      </c>
    </row>
    <row r="48" spans="14:15" ht="12.75">
      <c r="N48" s="4">
        <f>N47+0.01</f>
        <v>1.1400000000000001</v>
      </c>
      <c r="O48">
        <f>0.788*N48^3-2.4778*N48^2+1.6091*N48+0.6865</f>
        <v>0.4681817920000003</v>
      </c>
    </row>
    <row r="49" spans="14:15" ht="12.75">
      <c r="N49" s="4">
        <f>N48+0.01</f>
        <v>1.1500000000000001</v>
      </c>
      <c r="O49">
        <f>0.788*N49^3-2.4778*N49^2+1.6091*N49+0.6865</f>
        <v>0.4585240000000005</v>
      </c>
    </row>
    <row r="52" spans="1:4" ht="12.75">
      <c r="A52" t="s">
        <v>25</v>
      </c>
      <c r="C52" s="3"/>
      <c r="D52" s="3"/>
    </row>
    <row r="54" spans="1: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</row>
    <row r="55" spans="1:15" ht="12.75">
      <c r="A55">
        <v>105</v>
      </c>
      <c r="B55">
        <f>(A55-offset1)/gain1</f>
        <v>1.0161485269528288</v>
      </c>
      <c r="D55">
        <v>2464</v>
      </c>
      <c r="E55">
        <v>271</v>
      </c>
      <c r="F55">
        <v>1619</v>
      </c>
      <c r="G55">
        <f>corr2*(E55+F55)/(D55-14*2)</f>
        <v>0.7976552586206898</v>
      </c>
      <c r="N55">
        <v>1.29</v>
      </c>
      <c r="O55">
        <f>-0.5237*N55^3+2.6544*N55^2-5.0974*N55+3.7859</f>
        <v>0.5032200106999989</v>
      </c>
    </row>
    <row r="56" spans="1:15" ht="12.75">
      <c r="A56">
        <v>120</v>
      </c>
      <c r="B56">
        <f>(A56-offset1)/gain1</f>
        <v>1.1462742789022309</v>
      </c>
      <c r="D56">
        <v>2579</v>
      </c>
      <c r="E56">
        <v>222</v>
      </c>
      <c r="F56">
        <v>1371</v>
      </c>
      <c r="G56">
        <f>corr2*(E56+F56)/(D56-14*2)</f>
        <v>0.6420014805958448</v>
      </c>
      <c r="N56" s="4">
        <f>N55+0.01</f>
        <v>1.3</v>
      </c>
      <c r="O56">
        <f aca="true" t="shared" si="2" ref="O56:O62">-0.5237*N56^3+2.6544*N56^2-5.0974*N56+3.7859</f>
        <v>0.494647099999999</v>
      </c>
    </row>
    <row r="57" spans="1:15" ht="12.75">
      <c r="A57">
        <v>150</v>
      </c>
      <c r="B57">
        <f>(A57-offset1)/gain1</f>
        <v>1.406525782801035</v>
      </c>
      <c r="D57">
        <v>2505</v>
      </c>
      <c r="E57">
        <v>96</v>
      </c>
      <c r="F57">
        <v>893</v>
      </c>
      <c r="G57">
        <f>corr2*(E57+F57)/(D57-14*2)</f>
        <v>0.4104885026241421</v>
      </c>
      <c r="N57" s="4">
        <f>N56+0.01</f>
        <v>1.31</v>
      </c>
      <c r="O57">
        <f t="shared" si="2"/>
        <v>0.48619658329999904</v>
      </c>
    </row>
    <row r="58" spans="1:15" ht="12.75">
      <c r="A58">
        <v>180</v>
      </c>
      <c r="B58">
        <f>(A58-offset1)/gain1</f>
        <v>1.6667772866998392</v>
      </c>
      <c r="D58">
        <v>2568</v>
      </c>
      <c r="E58">
        <v>45</v>
      </c>
      <c r="F58">
        <v>546</v>
      </c>
      <c r="G58">
        <f>corr2*(E58+F58)/(D58-14*2)</f>
        <v>0.2392128342519685</v>
      </c>
      <c r="N58" s="4">
        <f>N57+0.01</f>
        <v>1.32</v>
      </c>
      <c r="O58">
        <f t="shared" si="2"/>
        <v>0.4778653183999988</v>
      </c>
    </row>
    <row r="59" spans="1:15" ht="12.75">
      <c r="A59">
        <v>210</v>
      </c>
      <c r="N59" s="4">
        <f>N58+0.01</f>
        <v>1.33</v>
      </c>
      <c r="O59">
        <f t="shared" si="2"/>
        <v>0.46965016309999896</v>
      </c>
    </row>
    <row r="60" spans="14:15" ht="12.75">
      <c r="N60" s="4">
        <f>N59+0.01</f>
        <v>1.34</v>
      </c>
      <c r="O60">
        <f t="shared" si="2"/>
        <v>0.46154797519999846</v>
      </c>
    </row>
    <row r="61" spans="14:15" ht="12.75">
      <c r="N61" s="7">
        <v>1.4</v>
      </c>
      <c r="O61">
        <f t="shared" si="2"/>
        <v>0.41513119999999937</v>
      </c>
    </row>
    <row r="62" spans="14:15" ht="12.75">
      <c r="N62" s="4">
        <f>N61+0.01</f>
        <v>1.41</v>
      </c>
      <c r="O62">
        <f t="shared" si="2"/>
        <v>0.4077318022999994</v>
      </c>
    </row>
    <row r="63" ht="12.75">
      <c r="N63" s="4"/>
    </row>
    <row r="64" ht="12.75">
      <c r="N64" s="4"/>
    </row>
    <row r="67" spans="1:4" ht="12.75">
      <c r="A67" t="s">
        <v>12</v>
      </c>
      <c r="C67" s="3"/>
      <c r="D67" s="3"/>
    </row>
    <row r="69" spans="1:7" ht="12.75">
      <c r="A69" t="s">
        <v>0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</row>
    <row r="70" spans="1:7" ht="12.75">
      <c r="A70">
        <v>105</v>
      </c>
      <c r="B70">
        <f>(A70-offset1)/gain1</f>
        <v>1.0161485269528288</v>
      </c>
      <c r="D70">
        <v>2491</v>
      </c>
      <c r="E70">
        <v>238</v>
      </c>
      <c r="F70">
        <v>1795</v>
      </c>
      <c r="G70">
        <f>corr2*(E70+F70)/(D70-14*2)</f>
        <v>0.8486012736500204</v>
      </c>
    </row>
    <row r="71" spans="1:15" ht="12.75">
      <c r="A71">
        <v>120</v>
      </c>
      <c r="B71">
        <f>(A71-offset1)/gain1</f>
        <v>1.1462742789022309</v>
      </c>
      <c r="D71">
        <v>2561</v>
      </c>
      <c r="E71">
        <v>223</v>
      </c>
      <c r="F71">
        <v>1795</v>
      </c>
      <c r="G71">
        <f>corr2*(E71+F71)/(D71-14*2)</f>
        <v>0.8190618247137782</v>
      </c>
      <c r="N71">
        <v>1.51</v>
      </c>
      <c r="O71">
        <f>2.279*N71^3-9.6986*N71^2+12.743*N71-4.4774</f>
        <v>0.4972374689999972</v>
      </c>
    </row>
    <row r="72" spans="1:15" ht="12.75">
      <c r="A72">
        <v>150</v>
      </c>
      <c r="B72">
        <f>(A72-offset1)/gain1</f>
        <v>1.406525782801035</v>
      </c>
      <c r="D72">
        <v>2553</v>
      </c>
      <c r="E72">
        <v>108</v>
      </c>
      <c r="F72">
        <v>1368</v>
      </c>
      <c r="G72">
        <f>corr2*(E72+F72)/(D72-14*2)</f>
        <v>0.6009740055445545</v>
      </c>
      <c r="N72" s="4">
        <f>N71+0.01</f>
        <v>1.52</v>
      </c>
      <c r="O72">
        <f aca="true" t="shared" si="3" ref="O72:O77">2.279*N72^3-9.6986*N72^2+12.743*N72-4.4774</f>
        <v>0.48772499199999775</v>
      </c>
    </row>
    <row r="73" spans="1:15" ht="12.75">
      <c r="A73">
        <v>180</v>
      </c>
      <c r="B73">
        <f>(A73-offset1)/gain1</f>
        <v>1.6667772866998392</v>
      </c>
      <c r="D73">
        <v>2542</v>
      </c>
      <c r="E73">
        <v>77</v>
      </c>
      <c r="F73">
        <v>832</v>
      </c>
      <c r="G73">
        <f>corr2*(E73+F73)/(D73-14*2)</f>
        <v>0.37173146420047737</v>
      </c>
      <c r="N73" s="4">
        <f>N72+0.01</f>
        <v>1.53</v>
      </c>
      <c r="O73">
        <f t="shared" si="3"/>
        <v>0.47835124299999787</v>
      </c>
    </row>
    <row r="74" spans="1:15" ht="12.75">
      <c r="A74">
        <v>210</v>
      </c>
      <c r="B74">
        <f>(A74-offset1)/gain1</f>
        <v>1.9270287905986432</v>
      </c>
      <c r="D74">
        <v>2436</v>
      </c>
      <c r="E74">
        <v>57</v>
      </c>
      <c r="F74">
        <v>565</v>
      </c>
      <c r="G74">
        <f>corr2*(E74+F74)/(D74-14*2)</f>
        <v>0.26556119518272425</v>
      </c>
      <c r="N74" s="4">
        <f>N73+0.01</f>
        <v>1.54</v>
      </c>
      <c r="O74">
        <f t="shared" si="3"/>
        <v>0.4691298959999992</v>
      </c>
    </row>
    <row r="75" spans="14:15" ht="12.75">
      <c r="N75" s="4">
        <f>N74+0.01</f>
        <v>1.55</v>
      </c>
      <c r="O75">
        <f t="shared" si="3"/>
        <v>0.46007462499999807</v>
      </c>
    </row>
    <row r="76" spans="14:15" ht="12.75">
      <c r="N76" s="5">
        <v>1.55</v>
      </c>
      <c r="O76">
        <f t="shared" si="3"/>
        <v>0.46007462499999807</v>
      </c>
    </row>
    <row r="77" spans="14:15" ht="12.75">
      <c r="N77" s="4">
        <f>N76+0.01</f>
        <v>1.56</v>
      </c>
      <c r="O77">
        <f t="shared" si="3"/>
        <v>0.4511991039999961</v>
      </c>
    </row>
    <row r="82" spans="1:4" ht="12.75">
      <c r="A82" t="s">
        <v>28</v>
      </c>
      <c r="C82" s="3"/>
      <c r="D82" s="3"/>
    </row>
    <row r="84" spans="1:7" ht="12.7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</row>
    <row r="85" spans="1:7" ht="12.75">
      <c r="A85" s="11">
        <v>105</v>
      </c>
      <c r="B85">
        <f>(A85-offset1)/gain1</f>
        <v>1.0161485269528288</v>
      </c>
      <c r="D85">
        <v>1329</v>
      </c>
      <c r="E85">
        <v>142</v>
      </c>
      <c r="F85">
        <v>1050</v>
      </c>
      <c r="G85">
        <f>corr2*(E85+F85)/(D85-14)</f>
        <v>0.9319255422053232</v>
      </c>
    </row>
    <row r="86" spans="1:15" ht="12.75">
      <c r="A86">
        <v>180</v>
      </c>
      <c r="B86">
        <f>(A86-offset1)/gain1</f>
        <v>1.6667772866998392</v>
      </c>
      <c r="D86" s="11">
        <v>2340</v>
      </c>
      <c r="E86" s="11">
        <v>146</v>
      </c>
      <c r="F86" s="11">
        <v>1352</v>
      </c>
      <c r="G86">
        <f>corr2*(E86+F86)/(D86-14*2)</f>
        <v>0.6661234091695503</v>
      </c>
      <c r="N86">
        <v>2.01</v>
      </c>
      <c r="O86">
        <f>0.0188*N86^2-0.5533*N86+1.5361</f>
        <v>0.4999208800000001</v>
      </c>
    </row>
    <row r="87" spans="1:15" ht="12.75">
      <c r="A87">
        <v>210</v>
      </c>
      <c r="B87">
        <f>(A87-offset1)/gain1</f>
        <v>1.9270287905986432</v>
      </c>
      <c r="D87" s="11">
        <v>2611</v>
      </c>
      <c r="E87" s="11">
        <v>138</v>
      </c>
      <c r="F87" s="11">
        <v>1218</v>
      </c>
      <c r="G87">
        <f>corr2*(E87+F87)/(D87-14*2)</f>
        <v>0.5397168734030198</v>
      </c>
      <c r="N87" s="4">
        <f>N86+0.01</f>
        <v>2.0199999999999996</v>
      </c>
      <c r="O87">
        <f aca="true" t="shared" si="4" ref="O87:O92">0.0188*N87^2-0.5533*N87+1.5361</f>
        <v>0.4951455200000001</v>
      </c>
    </row>
    <row r="88" spans="1:15" ht="12.75">
      <c r="A88">
        <v>240</v>
      </c>
      <c r="B88">
        <f>(A88-offset1)/gain1</f>
        <v>2.187280294497447</v>
      </c>
      <c r="D88" s="11">
        <v>1260</v>
      </c>
      <c r="E88" s="11">
        <v>52</v>
      </c>
      <c r="F88" s="11">
        <v>452</v>
      </c>
      <c r="G88">
        <f>corr2*(E88+F88)/(D88-14)</f>
        <v>0.41585622471910116</v>
      </c>
      <c r="N88" s="4">
        <f>N87+0.01</f>
        <v>2.0299999999999994</v>
      </c>
      <c r="O88">
        <f t="shared" si="4"/>
        <v>0.49037392000000035</v>
      </c>
    </row>
    <row r="89" spans="4:15" ht="12.75">
      <c r="D89" s="11"/>
      <c r="E89" s="11"/>
      <c r="F89" s="11"/>
      <c r="N89" s="4">
        <f>N88+0.01</f>
        <v>2.039999999999999</v>
      </c>
      <c r="O89">
        <f t="shared" si="4"/>
        <v>0.4856060800000004</v>
      </c>
    </row>
    <row r="90" spans="4:15" ht="12.75">
      <c r="D90" s="11"/>
      <c r="E90" s="11"/>
      <c r="F90" s="11"/>
      <c r="N90" s="4">
        <f>N89+0.01</f>
        <v>2.049999999999999</v>
      </c>
      <c r="O90">
        <f t="shared" si="4"/>
        <v>0.48084200000000044</v>
      </c>
    </row>
    <row r="91" spans="4:15" ht="12.75">
      <c r="D91" s="11"/>
      <c r="E91" s="11"/>
      <c r="F91" s="11"/>
      <c r="N91" s="4">
        <f>N90+0.01</f>
        <v>2.0599999999999987</v>
      </c>
      <c r="O91">
        <f t="shared" si="4"/>
        <v>0.4760816800000005</v>
      </c>
    </row>
    <row r="92" spans="14:15" ht="12.75">
      <c r="N92" s="5">
        <v>1.81</v>
      </c>
      <c r="O92">
        <f t="shared" si="4"/>
        <v>0.59621768</v>
      </c>
    </row>
    <row r="96" ht="12.75">
      <c r="N96" s="4"/>
    </row>
    <row r="100" spans="1:4" ht="12.75">
      <c r="A100" t="s">
        <v>42</v>
      </c>
      <c r="C100" s="3"/>
      <c r="D100" s="3"/>
    </row>
    <row r="102" spans="1:15" ht="12.7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N102">
        <v>2.67</v>
      </c>
      <c r="O102">
        <f aca="true" t="shared" si="5" ref="O102:O107">-0.6615*N102+2.2674</f>
        <v>0.5011950000000001</v>
      </c>
    </row>
    <row r="103" spans="1:15" ht="12.75">
      <c r="A103">
        <v>105</v>
      </c>
      <c r="B103">
        <f aca="true" t="shared" si="6" ref="B103:B109">(A103-offset1)/gain1</f>
        <v>1.0161485269528288</v>
      </c>
      <c r="G103">
        <f aca="true" t="shared" si="7" ref="G103:G109">corr*(E103+F103)/(D103-14)</f>
        <v>0</v>
      </c>
      <c r="N103" s="4">
        <f>N102+0.01</f>
        <v>2.6799999999999997</v>
      </c>
      <c r="O103">
        <f t="shared" si="5"/>
        <v>0.49458</v>
      </c>
    </row>
    <row r="104" spans="1:15" ht="12.75">
      <c r="A104" s="11">
        <v>210</v>
      </c>
      <c r="B104">
        <f t="shared" si="6"/>
        <v>1.9270287905986432</v>
      </c>
      <c r="G104">
        <f t="shared" si="7"/>
        <v>0</v>
      </c>
      <c r="N104" s="4">
        <f>N103+0.01</f>
        <v>2.6899999999999995</v>
      </c>
      <c r="O104">
        <f t="shared" si="5"/>
        <v>0.4879650000000002</v>
      </c>
    </row>
    <row r="105" spans="1:15" ht="12.75">
      <c r="A105">
        <v>240</v>
      </c>
      <c r="B105">
        <f t="shared" si="6"/>
        <v>2.187280294497447</v>
      </c>
      <c r="G105">
        <f t="shared" si="7"/>
        <v>0</v>
      </c>
      <c r="N105" s="4">
        <f>N104+0.01</f>
        <v>2.6999999999999993</v>
      </c>
      <c r="O105">
        <f t="shared" si="5"/>
        <v>0.4813500000000004</v>
      </c>
    </row>
    <row r="106" spans="1:15" ht="12.75">
      <c r="A106">
        <v>270</v>
      </c>
      <c r="B106">
        <f t="shared" si="6"/>
        <v>2.4475317983962515</v>
      </c>
      <c r="D106">
        <v>699</v>
      </c>
      <c r="E106">
        <v>77</v>
      </c>
      <c r="F106">
        <v>355</v>
      </c>
      <c r="G106">
        <f>corr2*(E106+F106)/(D106-14)</f>
        <v>0.6483714569343066</v>
      </c>
      <c r="N106" s="4">
        <f>N105+0.01</f>
        <v>2.709999999999999</v>
      </c>
      <c r="O106">
        <f t="shared" si="5"/>
        <v>0.4747350000000006</v>
      </c>
    </row>
    <row r="107" spans="1:15" ht="12.75">
      <c r="A107">
        <v>300</v>
      </c>
      <c r="B107">
        <f t="shared" si="6"/>
        <v>2.7077833022950553</v>
      </c>
      <c r="D107">
        <v>843</v>
      </c>
      <c r="E107">
        <v>47</v>
      </c>
      <c r="F107">
        <v>337</v>
      </c>
      <c r="G107">
        <f>corr2*(E107+F107)/(D107-14)</f>
        <v>0.476219753920386</v>
      </c>
      <c r="N107" s="4">
        <f>N106+0.01</f>
        <v>2.719999999999999</v>
      </c>
      <c r="O107">
        <f t="shared" si="5"/>
        <v>0.46812000000000076</v>
      </c>
    </row>
    <row r="108" spans="1:7" ht="12.75">
      <c r="A108">
        <v>330</v>
      </c>
      <c r="B108">
        <f t="shared" si="6"/>
        <v>2.9680348061938595</v>
      </c>
      <c r="G108">
        <f t="shared" si="7"/>
        <v>0</v>
      </c>
    </row>
    <row r="109" spans="1:7" ht="12.75">
      <c r="A109">
        <v>360</v>
      </c>
      <c r="B109">
        <f t="shared" si="6"/>
        <v>3.2282863100926638</v>
      </c>
      <c r="G109">
        <f t="shared" si="7"/>
        <v>0</v>
      </c>
    </row>
    <row r="112" spans="1:4" ht="12.75">
      <c r="A112" t="s">
        <v>43</v>
      </c>
      <c r="C112" s="3"/>
      <c r="D112" s="3"/>
    </row>
    <row r="114" spans="1:7" ht="12.75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</row>
    <row r="115" spans="1:7" ht="12.75">
      <c r="A115">
        <v>240</v>
      </c>
      <c r="B115">
        <f aca="true" t="shared" si="8" ref="B115:B121">(A115-offset1)/gain1</f>
        <v>2.187280294497447</v>
      </c>
      <c r="G115">
        <f>corr*(E115+F115)/(D115-14)</f>
        <v>0</v>
      </c>
    </row>
    <row r="116" spans="1:15" ht="12.75">
      <c r="A116">
        <v>270</v>
      </c>
      <c r="B116">
        <f t="shared" si="8"/>
        <v>2.4475317983962515</v>
      </c>
      <c r="G116">
        <f>corr*(E116+F116)/(D116-14)</f>
        <v>0</v>
      </c>
      <c r="N116">
        <v>3.11</v>
      </c>
      <c r="O116">
        <f aca="true" t="shared" si="9" ref="O116:O121">-0.33*N116+1.5275</f>
        <v>0.5012000000000001</v>
      </c>
    </row>
    <row r="117" spans="1:15" ht="12.75">
      <c r="A117">
        <v>300</v>
      </c>
      <c r="B117">
        <f t="shared" si="8"/>
        <v>2.7077833022950553</v>
      </c>
      <c r="D117">
        <v>1295</v>
      </c>
      <c r="E117">
        <v>137</v>
      </c>
      <c r="F117">
        <v>653</v>
      </c>
      <c r="G117">
        <f>corr2*(E117+F117)/(D117-14)</f>
        <v>0.6340283450429353</v>
      </c>
      <c r="N117">
        <f>N116+0.01</f>
        <v>3.1199999999999997</v>
      </c>
      <c r="O117">
        <f t="shared" si="9"/>
        <v>0.49790000000000023</v>
      </c>
    </row>
    <row r="118" spans="1:15" ht="12.75">
      <c r="A118">
        <v>330</v>
      </c>
      <c r="B118">
        <f t="shared" si="8"/>
        <v>2.9680348061938595</v>
      </c>
      <c r="D118">
        <v>1280</v>
      </c>
      <c r="E118">
        <v>105</v>
      </c>
      <c r="F118">
        <v>570</v>
      </c>
      <c r="G118">
        <f>corr2*(E118+F118)/(D118-14)</f>
        <v>0.5481517180094787</v>
      </c>
      <c r="N118">
        <f>N117+0.01</f>
        <v>3.1299999999999994</v>
      </c>
      <c r="O118">
        <f t="shared" si="9"/>
        <v>0.49460000000000015</v>
      </c>
    </row>
    <row r="119" spans="1:15" ht="12.75">
      <c r="A119">
        <v>360</v>
      </c>
      <c r="B119">
        <f t="shared" si="8"/>
        <v>3.2282863100926638</v>
      </c>
      <c r="G119">
        <f>corr2*(E119+F119)/(D119-14)</f>
        <v>0</v>
      </c>
      <c r="N119">
        <f>N118+0.01</f>
        <v>3.1399999999999992</v>
      </c>
      <c r="O119">
        <f t="shared" si="9"/>
        <v>0.4913000000000003</v>
      </c>
    </row>
    <row r="120" spans="1:15" ht="12.75">
      <c r="A120">
        <v>390</v>
      </c>
      <c r="B120">
        <f t="shared" si="8"/>
        <v>3.4885378139914676</v>
      </c>
      <c r="G120">
        <f>corr2*(E120+F120)/(D120-14)</f>
        <v>0</v>
      </c>
      <c r="N120">
        <f>N119+0.01</f>
        <v>3.149999999999999</v>
      </c>
      <c r="O120">
        <f t="shared" si="9"/>
        <v>0.48800000000000043</v>
      </c>
    </row>
    <row r="121" spans="1:15" ht="12.75">
      <c r="A121">
        <v>420</v>
      </c>
      <c r="B121">
        <f t="shared" si="8"/>
        <v>3.748789317890272</v>
      </c>
      <c r="G121">
        <f>corr2*(E121+F121)/(D121-14)</f>
        <v>0</v>
      </c>
      <c r="N121">
        <f>N120+0.01</f>
        <v>3.159999999999999</v>
      </c>
      <c r="O121">
        <f t="shared" si="9"/>
        <v>0.48470000000000035</v>
      </c>
    </row>
    <row r="124" spans="1:4" ht="12.75">
      <c r="A124" t="s">
        <v>44</v>
      </c>
      <c r="C124" s="3"/>
      <c r="D124" s="3"/>
    </row>
    <row r="126" spans="1:7" ht="12.75">
      <c r="A126" t="s">
        <v>0</v>
      </c>
      <c r="B126" t="s">
        <v>1</v>
      </c>
      <c r="C126" t="s">
        <v>2</v>
      </c>
      <c r="D126" t="s">
        <v>3</v>
      </c>
      <c r="E126" t="s">
        <v>4</v>
      </c>
      <c r="F126" t="s">
        <v>5</v>
      </c>
      <c r="G126" t="s">
        <v>6</v>
      </c>
    </row>
    <row r="127" spans="1:7" ht="12.75">
      <c r="A127">
        <v>270</v>
      </c>
      <c r="B127">
        <f aca="true" t="shared" si="10" ref="B127:B132">(A127-offset1)/gain1</f>
        <v>2.4475317983962515</v>
      </c>
      <c r="G127">
        <f aca="true" t="shared" si="11" ref="G127:G132">1.019459*(E127+F127)/(D127-14)</f>
        <v>0</v>
      </c>
    </row>
    <row r="128" spans="1:7" ht="12.75">
      <c r="A128">
        <v>300</v>
      </c>
      <c r="B128">
        <f t="shared" si="10"/>
        <v>2.7077833022950553</v>
      </c>
      <c r="G128">
        <f t="shared" si="11"/>
        <v>0</v>
      </c>
    </row>
    <row r="129" spans="1:15" ht="12.75">
      <c r="A129">
        <v>330</v>
      </c>
      <c r="B129">
        <f t="shared" si="10"/>
        <v>2.9680348061938595</v>
      </c>
      <c r="G129">
        <f t="shared" si="11"/>
        <v>0</v>
      </c>
      <c r="N129">
        <v>3.4</v>
      </c>
      <c r="O129">
        <f aca="true" t="shared" si="12" ref="O129:O135">-0.3478*N129^3+3.4312*N129^2-11.36*N129+13.128</f>
        <v>0.4987408000000002</v>
      </c>
    </row>
    <row r="130" spans="1:15" ht="12.75">
      <c r="A130">
        <v>360</v>
      </c>
      <c r="B130">
        <f t="shared" si="10"/>
        <v>3.2282863100926638</v>
      </c>
      <c r="G130">
        <f t="shared" si="11"/>
        <v>0</v>
      </c>
      <c r="N130">
        <f aca="true" t="shared" si="13" ref="N130:N135">N129+0.01</f>
        <v>3.4099999999999997</v>
      </c>
      <c r="O130">
        <f t="shared" si="12"/>
        <v>0.49783337620000623</v>
      </c>
    </row>
    <row r="131" spans="1:15" ht="12.75">
      <c r="A131">
        <v>390</v>
      </c>
      <c r="B131">
        <f t="shared" si="10"/>
        <v>3.4885378139914676</v>
      </c>
      <c r="G131">
        <f t="shared" si="11"/>
        <v>0</v>
      </c>
      <c r="N131">
        <f t="shared" si="13"/>
        <v>3.4199999999999995</v>
      </c>
      <c r="O131">
        <f t="shared" si="12"/>
        <v>0.49690059360000305</v>
      </c>
    </row>
    <row r="132" spans="1:15" ht="12.75">
      <c r="A132">
        <v>420</v>
      </c>
      <c r="B132">
        <f t="shared" si="10"/>
        <v>3.748789317890272</v>
      </c>
      <c r="G132">
        <f t="shared" si="11"/>
        <v>0</v>
      </c>
      <c r="N132">
        <f t="shared" si="13"/>
        <v>3.4299999999999993</v>
      </c>
      <c r="O132">
        <f t="shared" si="12"/>
        <v>0.49594036540000275</v>
      </c>
    </row>
    <row r="133" spans="14:15" ht="12.75">
      <c r="N133">
        <f t="shared" si="13"/>
        <v>3.439999999999999</v>
      </c>
      <c r="O133">
        <f t="shared" si="12"/>
        <v>0.49495060479999964</v>
      </c>
    </row>
    <row r="134" spans="14:15" ht="12.75">
      <c r="N134">
        <f t="shared" si="13"/>
        <v>3.449999999999999</v>
      </c>
      <c r="O134">
        <f t="shared" si="12"/>
        <v>0.4939292250000058</v>
      </c>
    </row>
    <row r="135" spans="14:15" ht="12.75">
      <c r="N135">
        <f t="shared" si="13"/>
        <v>3.4599999999999986</v>
      </c>
      <c r="O135">
        <f t="shared" si="12"/>
        <v>0.49287413920000134</v>
      </c>
    </row>
    <row r="136" spans="1:4" ht="12.75">
      <c r="A136" t="s">
        <v>45</v>
      </c>
      <c r="C136" s="3"/>
      <c r="D136" s="3"/>
    </row>
    <row r="138" spans="1:7" ht="12.75">
      <c r="A138" t="s">
        <v>0</v>
      </c>
      <c r="B138" t="s">
        <v>1</v>
      </c>
      <c r="C138" t="s">
        <v>2</v>
      </c>
      <c r="D138" t="s">
        <v>3</v>
      </c>
      <c r="E138" t="s">
        <v>4</v>
      </c>
      <c r="F138" t="s">
        <v>5</v>
      </c>
      <c r="G138" t="s">
        <v>6</v>
      </c>
    </row>
    <row r="139" spans="1:7" ht="12.75">
      <c r="A139">
        <v>270</v>
      </c>
      <c r="B139">
        <f aca="true" t="shared" si="14" ref="B139:B144">(A139-offset1)/gain1</f>
        <v>2.4475317983962515</v>
      </c>
      <c r="G139">
        <f>1.019459*(E139+F139)/(D139-14)</f>
        <v>0</v>
      </c>
    </row>
    <row r="140" spans="1:2" ht="12.75">
      <c r="A140">
        <v>300</v>
      </c>
      <c r="B140">
        <f t="shared" si="14"/>
        <v>2.7077833022950553</v>
      </c>
    </row>
    <row r="141" spans="1:7" ht="12.75">
      <c r="A141">
        <v>330</v>
      </c>
      <c r="B141">
        <f t="shared" si="14"/>
        <v>2.9680348061938595</v>
      </c>
      <c r="G141">
        <f>1.019459*(E141+F141)/(D141-14)</f>
        <v>0</v>
      </c>
    </row>
    <row r="142" spans="1:7" ht="12.75">
      <c r="A142">
        <v>360</v>
      </c>
      <c r="B142">
        <f t="shared" si="14"/>
        <v>3.2282863100926638</v>
      </c>
      <c r="G142">
        <f>1.019459*(E142+F142)/(D142-14)</f>
        <v>0</v>
      </c>
    </row>
    <row r="143" spans="1:7" ht="12.75">
      <c r="A143">
        <v>390</v>
      </c>
      <c r="B143">
        <f t="shared" si="14"/>
        <v>3.4885378139914676</v>
      </c>
      <c r="G143">
        <f>1.019459*(E143+F143)/(D143-14)</f>
        <v>0</v>
      </c>
    </row>
    <row r="144" spans="1:7" ht="12.75">
      <c r="A144">
        <v>420</v>
      </c>
      <c r="B144">
        <f t="shared" si="14"/>
        <v>3.748789317890272</v>
      </c>
      <c r="G144">
        <f>1.019459*(E144+F144)/(D144-14)</f>
        <v>0</v>
      </c>
    </row>
    <row r="149" spans="1:4" ht="12.75">
      <c r="A149" t="s">
        <v>46</v>
      </c>
      <c r="C149" s="3"/>
      <c r="D149" s="3"/>
    </row>
    <row r="151" spans="1:7" ht="12.7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</row>
    <row r="152" spans="1:7" ht="12.75">
      <c r="A152">
        <v>270</v>
      </c>
      <c r="B152">
        <f aca="true" t="shared" si="15" ref="B152:B157">(A152-offset1)/gain1</f>
        <v>2.4475317983962515</v>
      </c>
      <c r="G152">
        <f aca="true" t="shared" si="16" ref="G152:G157">1.019459*(E152+F152)/(D152-14)</f>
        <v>0</v>
      </c>
    </row>
    <row r="153" spans="1:7" ht="12.75">
      <c r="A153">
        <v>300</v>
      </c>
      <c r="B153">
        <f t="shared" si="15"/>
        <v>2.7077833022950553</v>
      </c>
      <c r="G153">
        <f t="shared" si="16"/>
        <v>0</v>
      </c>
    </row>
    <row r="154" spans="1:7" ht="12.75">
      <c r="A154">
        <v>330</v>
      </c>
      <c r="B154">
        <f t="shared" si="15"/>
        <v>2.9680348061938595</v>
      </c>
      <c r="G154">
        <f t="shared" si="16"/>
        <v>0</v>
      </c>
    </row>
    <row r="155" spans="1:7" ht="12.75">
      <c r="A155">
        <v>360</v>
      </c>
      <c r="B155">
        <f t="shared" si="15"/>
        <v>3.2282863100926638</v>
      </c>
      <c r="G155">
        <f t="shared" si="16"/>
        <v>0</v>
      </c>
    </row>
    <row r="156" spans="1:7" ht="12.75">
      <c r="A156">
        <v>390</v>
      </c>
      <c r="B156">
        <f t="shared" si="15"/>
        <v>3.4885378139914676</v>
      </c>
      <c r="G156">
        <f t="shared" si="16"/>
        <v>0</v>
      </c>
    </row>
    <row r="157" spans="1:7" ht="12.75">
      <c r="A157">
        <v>420</v>
      </c>
      <c r="B157">
        <f t="shared" si="15"/>
        <v>3.748789317890272</v>
      </c>
      <c r="G157">
        <f t="shared" si="16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7"/>
  <sheetViews>
    <sheetView tabSelected="1" workbookViewId="0" topLeftCell="A69">
      <selection activeCell="D75" sqref="D75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26</v>
      </c>
      <c r="C1" t="s">
        <v>36</v>
      </c>
      <c r="E1" t="s">
        <v>37</v>
      </c>
      <c r="H1" t="s">
        <v>35</v>
      </c>
      <c r="L1" t="s">
        <v>13</v>
      </c>
      <c r="M1" t="s">
        <v>14</v>
      </c>
      <c r="N1" t="s">
        <v>10</v>
      </c>
      <c r="Q1" t="s">
        <v>7</v>
      </c>
      <c r="R1" t="s">
        <v>7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15</v>
      </c>
      <c r="L2">
        <v>150</v>
      </c>
      <c r="M2" t="e">
        <f>#REF!</f>
        <v>#REF!</v>
      </c>
      <c r="S2" s="4"/>
      <c r="T2" s="4"/>
      <c r="U2" s="4"/>
      <c r="V2" s="4"/>
      <c r="W2" s="4"/>
      <c r="X2" s="4"/>
      <c r="Y2" s="4"/>
    </row>
    <row r="3" spans="3:25" ht="12.75">
      <c r="C3">
        <v>115.27310909090909</v>
      </c>
      <c r="E3">
        <v>-12.134600000000002</v>
      </c>
      <c r="L3">
        <v>170</v>
      </c>
      <c r="M3" t="e">
        <f>#REF!</f>
        <v>#REF!</v>
      </c>
      <c r="S3" s="5"/>
      <c r="T3" s="5"/>
      <c r="U3" s="5"/>
      <c r="V3" s="4"/>
      <c r="W3" s="5"/>
      <c r="X3" s="5"/>
      <c r="Y3" s="6"/>
    </row>
    <row r="4" spans="8:25" ht="12.75">
      <c r="H4">
        <v>1.028089</v>
      </c>
      <c r="L4">
        <v>200</v>
      </c>
      <c r="M4">
        <f>G22</f>
        <v>0</v>
      </c>
      <c r="N4">
        <f>N23</f>
        <v>0</v>
      </c>
      <c r="S4" s="5"/>
      <c r="T4" s="5"/>
      <c r="U4" s="5"/>
      <c r="V4" s="4"/>
      <c r="W4" s="5"/>
      <c r="X4" s="5"/>
      <c r="Y4" s="5"/>
    </row>
    <row r="5" spans="12:25" ht="12.75">
      <c r="L5">
        <v>250</v>
      </c>
      <c r="M5">
        <f>G33</f>
        <v>0.3518413197565543</v>
      </c>
      <c r="N5">
        <f>N31</f>
        <v>0.97</v>
      </c>
      <c r="S5" s="5"/>
      <c r="T5" s="5"/>
      <c r="U5" s="5"/>
      <c r="V5" s="4"/>
      <c r="W5" s="5"/>
      <c r="X5" s="5"/>
      <c r="Y5" s="5"/>
    </row>
    <row r="6" spans="12:25" ht="12.75">
      <c r="L6">
        <v>300</v>
      </c>
      <c r="M6">
        <f>G43</f>
        <v>0.5989467447447447</v>
      </c>
      <c r="N6">
        <f>N45</f>
        <v>1.11</v>
      </c>
      <c r="S6" s="5"/>
      <c r="T6" s="5"/>
      <c r="U6" s="5"/>
      <c r="V6" s="4"/>
      <c r="W6" s="5"/>
      <c r="X6" s="5"/>
      <c r="Y6" s="5"/>
    </row>
    <row r="7" spans="12:25" ht="12.75">
      <c r="L7">
        <v>350</v>
      </c>
      <c r="M7">
        <f>G55</f>
        <v>0.7788553030303031</v>
      </c>
      <c r="N7" s="4">
        <f>N55</f>
        <v>1.29</v>
      </c>
      <c r="S7" s="5"/>
      <c r="T7" s="5"/>
      <c r="U7" s="5"/>
      <c r="V7" s="4"/>
      <c r="W7" s="5"/>
      <c r="X7" s="5"/>
      <c r="Y7" s="5"/>
    </row>
    <row r="8" spans="12:25" ht="12.75">
      <c r="L8">
        <v>400</v>
      </c>
      <c r="M8">
        <f>G70</f>
        <v>0</v>
      </c>
      <c r="N8">
        <f>N71</f>
        <v>1.51</v>
      </c>
      <c r="S8" s="5"/>
      <c r="T8" s="8"/>
      <c r="U8" s="5"/>
      <c r="V8" s="4"/>
      <c r="W8" s="5"/>
      <c r="X8" s="5"/>
      <c r="Y8" s="5"/>
    </row>
    <row r="9" spans="12:25" ht="12.75">
      <c r="L9">
        <v>500</v>
      </c>
      <c r="M9">
        <f>G85</f>
        <v>0</v>
      </c>
      <c r="N9">
        <f>N86</f>
        <v>2.01</v>
      </c>
      <c r="O9" s="4"/>
      <c r="P9" s="4"/>
      <c r="Q9" s="4"/>
      <c r="S9" s="5"/>
      <c r="T9" s="5"/>
      <c r="U9" s="5"/>
      <c r="V9" s="4"/>
      <c r="W9" s="5"/>
      <c r="X9" s="5"/>
      <c r="Y9" s="5"/>
    </row>
    <row r="10" spans="12:25" ht="12.75">
      <c r="L10">
        <v>600</v>
      </c>
      <c r="N10" s="12">
        <f>N102</f>
        <v>2.67</v>
      </c>
      <c r="O10" s="12"/>
      <c r="P10" s="4"/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700</v>
      </c>
      <c r="M11">
        <f>G103</f>
        <v>0</v>
      </c>
      <c r="N11" s="12">
        <f>N116</f>
        <v>3.11</v>
      </c>
      <c r="O11" s="12"/>
      <c r="P11" s="4"/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800</v>
      </c>
      <c r="M12">
        <f>G116</f>
        <v>0</v>
      </c>
      <c r="N12" s="13">
        <f>N129</f>
        <v>3.4</v>
      </c>
      <c r="O12" s="4"/>
      <c r="P12" s="4"/>
      <c r="Q12" s="4"/>
      <c r="S12" s="4"/>
      <c r="T12" s="4"/>
      <c r="U12" s="4"/>
      <c r="V12" s="4"/>
      <c r="W12" s="4"/>
      <c r="X12" s="4"/>
      <c r="Y12" s="4"/>
    </row>
    <row r="13" spans="15:25" ht="12.75">
      <c r="O13" s="4"/>
      <c r="P13" s="4"/>
      <c r="Q13" s="4"/>
      <c r="S13" s="4"/>
      <c r="T13" s="4"/>
      <c r="U13" s="4"/>
      <c r="V13" s="4"/>
      <c r="W13" s="4"/>
      <c r="X13" s="4"/>
      <c r="Y13" s="4"/>
    </row>
    <row r="14" spans="14:17" ht="12.75">
      <c r="N14" s="4"/>
      <c r="O14" s="4"/>
      <c r="P14" s="4"/>
      <c r="Q14" s="4"/>
    </row>
    <row r="15" spans="14:17" ht="12.75">
      <c r="N15" s="4"/>
      <c r="O15" s="4"/>
      <c r="P15" s="5"/>
      <c r="Q15" s="4"/>
    </row>
    <row r="16" spans="14:17" ht="12.75">
      <c r="N16" s="4"/>
      <c r="O16" s="4"/>
      <c r="P16" s="4"/>
      <c r="Q16" s="4"/>
    </row>
    <row r="17" spans="14:17" ht="12.75">
      <c r="N17" s="4"/>
      <c r="O17" s="4"/>
      <c r="P17" s="4"/>
      <c r="Q17" s="4"/>
    </row>
    <row r="18" spans="14:17" ht="12.75">
      <c r="N18" s="4"/>
      <c r="O18" s="4"/>
      <c r="P18" s="4"/>
      <c r="Q18" s="4"/>
    </row>
    <row r="19" spans="1:17" ht="12.75">
      <c r="A19" t="s">
        <v>11</v>
      </c>
      <c r="B19" t="s">
        <v>23</v>
      </c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N21" s="4"/>
      <c r="O21" s="4"/>
      <c r="P21" s="4"/>
      <c r="Q21" s="4"/>
    </row>
    <row r="22" spans="1:17" ht="12.75">
      <c r="A22">
        <v>105</v>
      </c>
      <c r="B22">
        <f>(A22-offset1)/gain1</f>
        <v>1.0161485269528288</v>
      </c>
      <c r="G22">
        <f>1.019459*(E22+F22)/(D22-14*2)</f>
        <v>0</v>
      </c>
      <c r="N22" s="4"/>
      <c r="O22" s="4"/>
      <c r="P22" s="4"/>
      <c r="Q22" s="4"/>
    </row>
    <row r="23" spans="14:17" ht="12.75">
      <c r="N23" s="4"/>
      <c r="O23" s="4"/>
      <c r="P23" s="4"/>
      <c r="Q23" s="4"/>
    </row>
    <row r="24" spans="1:17" ht="12.75">
      <c r="A24" s="1"/>
      <c r="P24" s="4"/>
      <c r="Q24" s="4"/>
    </row>
    <row r="25" spans="16:17" ht="12.75">
      <c r="P25" s="4"/>
      <c r="Q25" s="4"/>
    </row>
    <row r="26" spans="16:17" ht="12.75">
      <c r="P26" s="4"/>
      <c r="Q26" s="4"/>
    </row>
    <row r="29" spans="1:4" ht="12.75">
      <c r="A29" t="s">
        <v>8</v>
      </c>
      <c r="B29" t="s">
        <v>23</v>
      </c>
      <c r="C29" s="3"/>
      <c r="D29" s="3"/>
    </row>
    <row r="31" spans="1:15" ht="12.7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N31">
        <v>0.97</v>
      </c>
      <c r="O31">
        <f aca="true" t="shared" si="0" ref="O31:O38">-7.0604*N31^2+12.133*N31-4.6305</f>
        <v>0.49537963999999945</v>
      </c>
    </row>
    <row r="32" spans="1:15" ht="12.75">
      <c r="A32">
        <v>90</v>
      </c>
      <c r="B32">
        <f>(A32-offset1)/gain1</f>
        <v>0.8860227750034267</v>
      </c>
      <c r="D32">
        <v>2136</v>
      </c>
      <c r="E32">
        <v>149</v>
      </c>
      <c r="F32">
        <v>1005</v>
      </c>
      <c r="G32">
        <f>corr2*(E32+F32)/(D32-14)</f>
        <v>0.559102123468426</v>
      </c>
      <c r="N32">
        <f aca="true" t="shared" si="1" ref="N32:N38">N31+0.01</f>
        <v>0.98</v>
      </c>
      <c r="O32">
        <f t="shared" si="0"/>
        <v>0.4790318399999993</v>
      </c>
    </row>
    <row r="33" spans="1:15" ht="12.75">
      <c r="A33" s="1">
        <v>105</v>
      </c>
      <c r="B33">
        <f>(A33-offset1)/gain1</f>
        <v>1.0161485269528288</v>
      </c>
      <c r="D33">
        <v>2164</v>
      </c>
      <c r="E33">
        <v>92</v>
      </c>
      <c r="F33">
        <v>639</v>
      </c>
      <c r="G33">
        <f>corr2*(E33+F33)/(D33-14*2)</f>
        <v>0.3518413197565543</v>
      </c>
      <c r="N33">
        <f t="shared" si="1"/>
        <v>0.99</v>
      </c>
      <c r="O33">
        <f t="shared" si="0"/>
        <v>0.4612719599999995</v>
      </c>
    </row>
    <row r="34" spans="1:15" ht="12.75">
      <c r="A34">
        <v>120</v>
      </c>
      <c r="B34">
        <f>(A34-offset1)/gain1</f>
        <v>1.1462742789022309</v>
      </c>
      <c r="D34">
        <v>2203</v>
      </c>
      <c r="E34">
        <v>52</v>
      </c>
      <c r="F34">
        <v>481</v>
      </c>
      <c r="G34">
        <f>1.019459*(E34+F34)/(D34-14*2)</f>
        <v>0.2498260445977011</v>
      </c>
      <c r="N34">
        <f t="shared" si="1"/>
        <v>1</v>
      </c>
      <c r="O34">
        <f t="shared" si="0"/>
        <v>0.44209999999999994</v>
      </c>
    </row>
    <row r="35" spans="14:15" ht="12.75">
      <c r="N35">
        <f t="shared" si="1"/>
        <v>1.01</v>
      </c>
      <c r="O35">
        <f t="shared" si="0"/>
        <v>0.4215159600000007</v>
      </c>
    </row>
    <row r="36" spans="14:16" ht="12.75">
      <c r="N36">
        <f t="shared" si="1"/>
        <v>1.02</v>
      </c>
      <c r="O36">
        <f t="shared" si="0"/>
        <v>0.39951984000000085</v>
      </c>
      <c r="P36" s="2"/>
    </row>
    <row r="37" spans="14:15" ht="12.75">
      <c r="N37">
        <f t="shared" si="1"/>
        <v>1.03</v>
      </c>
      <c r="O37">
        <f t="shared" si="0"/>
        <v>0.3761116400000013</v>
      </c>
    </row>
    <row r="38" spans="14:15" ht="12.75">
      <c r="N38">
        <f t="shared" si="1"/>
        <v>1.04</v>
      </c>
      <c r="O38">
        <f t="shared" si="0"/>
        <v>0.3512913599999985</v>
      </c>
    </row>
    <row r="40" spans="1:4" ht="12.75">
      <c r="A40" t="s">
        <v>24</v>
      </c>
      <c r="C40" s="3"/>
      <c r="D40" s="3"/>
    </row>
    <row r="42" spans="1: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</row>
    <row r="43" spans="1:7" ht="12.75">
      <c r="A43">
        <v>105</v>
      </c>
      <c r="B43">
        <f>(A43-offset1)/gain1</f>
        <v>1.0161485269528288</v>
      </c>
      <c r="D43">
        <v>2359</v>
      </c>
      <c r="E43">
        <v>180</v>
      </c>
      <c r="F43">
        <v>1178</v>
      </c>
      <c r="G43">
        <f>corr2*(E43+F43)/(D43-14*2)</f>
        <v>0.5989467447447447</v>
      </c>
    </row>
    <row r="44" spans="1:7" ht="12.75">
      <c r="A44">
        <v>120</v>
      </c>
      <c r="B44">
        <f>(A44-offset1)/gain1</f>
        <v>1.1462742789022309</v>
      </c>
      <c r="D44">
        <v>2261</v>
      </c>
      <c r="E44">
        <v>131</v>
      </c>
      <c r="F44">
        <v>861</v>
      </c>
      <c r="G44">
        <f>corr2*(E44+F44)/(D44-14*2)</f>
        <v>0.4567238190774742</v>
      </c>
    </row>
    <row r="45" spans="1:15" ht="12.75">
      <c r="A45">
        <v>150</v>
      </c>
      <c r="B45">
        <f>(A45-offset1)/gain1</f>
        <v>1.406525782801035</v>
      </c>
      <c r="D45">
        <v>2238</v>
      </c>
      <c r="E45">
        <v>82</v>
      </c>
      <c r="F45">
        <v>444</v>
      </c>
      <c r="G45">
        <f>corr2*(E45+F45)/(D45-14*2)</f>
        <v>0.24469448597285068</v>
      </c>
      <c r="N45" s="5">
        <v>1.11</v>
      </c>
      <c r="O45">
        <f>0.788*N45^3-2.4778*N45^2+1.6091*N45+0.6865</f>
        <v>0.4973968480000003</v>
      </c>
    </row>
    <row r="46" spans="14:15" ht="12.75">
      <c r="N46" s="4">
        <f>N45+0.01</f>
        <v>1.12</v>
      </c>
      <c r="O46">
        <f>0.788*N46^3-2.4778*N46^2+1.6091*N46+0.6865</f>
        <v>0.4876229440000003</v>
      </c>
    </row>
    <row r="47" spans="14:15" ht="12.75">
      <c r="N47" s="4">
        <f>N46+0.01</f>
        <v>1.1300000000000001</v>
      </c>
      <c r="O47">
        <f>0.788*N47^3-2.4778*N47^2+1.6091*N47+0.6865</f>
        <v>0.47788301600000016</v>
      </c>
    </row>
    <row r="48" spans="14:15" ht="12.75">
      <c r="N48" s="4">
        <f>N47+0.01</f>
        <v>1.1400000000000001</v>
      </c>
      <c r="O48">
        <f>0.788*N48^3-2.4778*N48^2+1.6091*N48+0.6865</f>
        <v>0.4681817920000003</v>
      </c>
    </row>
    <row r="49" spans="14:15" ht="12.75">
      <c r="N49" s="4">
        <f>N48+0.01</f>
        <v>1.1500000000000001</v>
      </c>
      <c r="O49">
        <f>0.788*N49^3-2.4778*N49^2+1.6091*N49+0.6865</f>
        <v>0.4585240000000005</v>
      </c>
    </row>
    <row r="52" spans="1:4" ht="12.75">
      <c r="A52" t="s">
        <v>25</v>
      </c>
      <c r="C52" s="3"/>
      <c r="D52" s="3"/>
    </row>
    <row r="54" spans="1: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</row>
    <row r="55" spans="1:15" ht="12.75">
      <c r="A55">
        <v>105</v>
      </c>
      <c r="B55">
        <f>(A55-offset1)/gain1</f>
        <v>1.0161485269528288</v>
      </c>
      <c r="D55">
        <v>2140</v>
      </c>
      <c r="E55">
        <v>212</v>
      </c>
      <c r="F55">
        <v>1388</v>
      </c>
      <c r="G55">
        <f>corr2*(E55+F55)/(D55-14*2)</f>
        <v>0.7788553030303031</v>
      </c>
      <c r="N55">
        <v>1.29</v>
      </c>
      <c r="O55">
        <f aca="true" t="shared" si="2" ref="O55:O62">-0.5237*N55^3+2.6544*N55^2-5.0974*N55+3.7859</f>
        <v>0.5032200106999989</v>
      </c>
    </row>
    <row r="56" spans="1:15" ht="12.75">
      <c r="A56">
        <v>120</v>
      </c>
      <c r="B56">
        <f>(A56-offset1)/gain1</f>
        <v>1.1462742789022309</v>
      </c>
      <c r="D56">
        <v>2232</v>
      </c>
      <c r="E56">
        <v>198</v>
      </c>
      <c r="F56">
        <v>1331</v>
      </c>
      <c r="G56">
        <f>corr2*(E56+F56)/(D56-14*2)</f>
        <v>0.713225082123412</v>
      </c>
      <c r="N56" s="4">
        <f>N55+0.01</f>
        <v>1.3</v>
      </c>
      <c r="O56">
        <f t="shared" si="2"/>
        <v>0.494647099999999</v>
      </c>
    </row>
    <row r="57" spans="1:15" ht="12.75">
      <c r="A57">
        <v>150</v>
      </c>
      <c r="B57">
        <f>(A57-offset1)/gain1</f>
        <v>1.406525782801035</v>
      </c>
      <c r="D57">
        <v>2269</v>
      </c>
      <c r="E57">
        <v>114</v>
      </c>
      <c r="F57">
        <v>802</v>
      </c>
      <c r="G57">
        <f>corr2*(E57+F57)/(D57-14*2)</f>
        <v>0.4202273645693887</v>
      </c>
      <c r="N57" s="4">
        <f>N56+0.01</f>
        <v>1.31</v>
      </c>
      <c r="O57">
        <f t="shared" si="2"/>
        <v>0.48619658329999904</v>
      </c>
    </row>
    <row r="58" spans="1:15" ht="12.75">
      <c r="A58">
        <v>180</v>
      </c>
      <c r="B58">
        <f>(A58-offset1)/gain1</f>
        <v>1.6667772866998392</v>
      </c>
      <c r="D58">
        <v>2248</v>
      </c>
      <c r="E58">
        <v>79</v>
      </c>
      <c r="F58">
        <v>455</v>
      </c>
      <c r="G58">
        <f>corr2*(E58+F58)/(D58-14*2)</f>
        <v>0.24729708378378382</v>
      </c>
      <c r="N58" s="4">
        <f>N57+0.01</f>
        <v>1.32</v>
      </c>
      <c r="O58">
        <f t="shared" si="2"/>
        <v>0.4778653183999988</v>
      </c>
    </row>
    <row r="59" spans="14:15" ht="12.75">
      <c r="N59" s="4">
        <f>N58+0.01</f>
        <v>1.33</v>
      </c>
      <c r="O59">
        <f t="shared" si="2"/>
        <v>0.46965016309999896</v>
      </c>
    </row>
    <row r="60" spans="14:15" ht="12.75">
      <c r="N60" s="4">
        <f>N59+0.01</f>
        <v>1.34</v>
      </c>
      <c r="O60">
        <f t="shared" si="2"/>
        <v>0.46154797519999846</v>
      </c>
    </row>
    <row r="61" spans="14:15" ht="12.75">
      <c r="N61" s="7">
        <v>1.4</v>
      </c>
      <c r="O61">
        <f t="shared" si="2"/>
        <v>0.41513119999999937</v>
      </c>
    </row>
    <row r="62" spans="14:15" ht="12.75">
      <c r="N62" s="4">
        <f>N61+0.01</f>
        <v>1.41</v>
      </c>
      <c r="O62">
        <f t="shared" si="2"/>
        <v>0.4077318022999994</v>
      </c>
    </row>
    <row r="63" ht="12.75">
      <c r="N63" s="4"/>
    </row>
    <row r="64" ht="12.75">
      <c r="N64" s="4"/>
    </row>
    <row r="67" spans="1:4" ht="12.75">
      <c r="A67" t="s">
        <v>12</v>
      </c>
      <c r="C67" s="3"/>
      <c r="D67" s="3"/>
    </row>
    <row r="69" spans="1:7" ht="12.75">
      <c r="A69" t="s">
        <v>0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</row>
    <row r="70" spans="1:7" ht="12.75">
      <c r="A70">
        <v>105</v>
      </c>
      <c r="B70">
        <f>(A70-offset1)/gain1</f>
        <v>1.0161485269528288</v>
      </c>
      <c r="G70">
        <f>corr2*(E70+F70)/(D70-14*2)</f>
        <v>0</v>
      </c>
    </row>
    <row r="71" spans="1:15" ht="12.75">
      <c r="A71">
        <v>120</v>
      </c>
      <c r="B71">
        <f>(A71-offset1)/gain1</f>
        <v>1.1462742789022309</v>
      </c>
      <c r="D71">
        <v>2266</v>
      </c>
      <c r="E71">
        <v>210</v>
      </c>
      <c r="F71">
        <v>1595</v>
      </c>
      <c r="G71">
        <f>corr2*(E71+F71)/(D71-14*2)</f>
        <v>0.8291781255585344</v>
      </c>
      <c r="N71">
        <v>1.51</v>
      </c>
      <c r="O71">
        <f aca="true" t="shared" si="3" ref="O71:O77">2.279*N71^3-9.6986*N71^2+12.743*N71-4.4774</f>
        <v>0.4972374689999972</v>
      </c>
    </row>
    <row r="72" spans="1:15" ht="12.75">
      <c r="A72">
        <v>150</v>
      </c>
      <c r="B72">
        <f>(A72-offset1)/gain1</f>
        <v>1.406525782801035</v>
      </c>
      <c r="D72">
        <v>2286</v>
      </c>
      <c r="E72">
        <v>176</v>
      </c>
      <c r="F72">
        <v>1209</v>
      </c>
      <c r="G72">
        <f>corr2*(E72+F72)/(D72-14*2)</f>
        <v>0.6306037488928256</v>
      </c>
      <c r="N72" s="4">
        <f>N71+0.01</f>
        <v>1.52</v>
      </c>
      <c r="O72">
        <f t="shared" si="3"/>
        <v>0.48772499199999775</v>
      </c>
    </row>
    <row r="73" spans="1:15" ht="12.75">
      <c r="A73">
        <v>180</v>
      </c>
      <c r="B73">
        <f>(A73-offset1)/gain1</f>
        <v>1.6667772866998392</v>
      </c>
      <c r="D73">
        <v>2276</v>
      </c>
      <c r="E73">
        <v>120</v>
      </c>
      <c r="F73">
        <v>810</v>
      </c>
      <c r="G73">
        <f>corr2*(E73+F73)/(D73-14*2)</f>
        <v>0.4253215169039146</v>
      </c>
      <c r="N73" s="4">
        <f>N72+0.01</f>
        <v>1.53</v>
      </c>
      <c r="O73">
        <f t="shared" si="3"/>
        <v>0.47835124299999787</v>
      </c>
    </row>
    <row r="74" spans="1:15" ht="12.75">
      <c r="A74">
        <v>210</v>
      </c>
      <c r="B74">
        <f>(A74-offset1)/gain1</f>
        <v>1.9270287905986432</v>
      </c>
      <c r="D74">
        <v>2153</v>
      </c>
      <c r="E74">
        <v>67</v>
      </c>
      <c r="F74">
        <v>494</v>
      </c>
      <c r="G74">
        <f>corr2*(E74+F74)/(D74-14*2)</f>
        <v>0.271415496</v>
      </c>
      <c r="N74" s="4">
        <f>N73+0.01</f>
        <v>1.54</v>
      </c>
      <c r="O74">
        <f t="shared" si="3"/>
        <v>0.4691298959999992</v>
      </c>
    </row>
    <row r="75" spans="14:15" ht="12.75">
      <c r="N75" s="4">
        <f>N74+0.01</f>
        <v>1.55</v>
      </c>
      <c r="O75">
        <f t="shared" si="3"/>
        <v>0.46007462499999807</v>
      </c>
    </row>
    <row r="76" spans="14:15" ht="12.75">
      <c r="N76" s="5">
        <v>1.55</v>
      </c>
      <c r="O76">
        <f t="shared" si="3"/>
        <v>0.46007462499999807</v>
      </c>
    </row>
    <row r="77" spans="14:15" ht="12.75">
      <c r="N77" s="4">
        <f>N76+0.01</f>
        <v>1.56</v>
      </c>
      <c r="O77">
        <f t="shared" si="3"/>
        <v>0.4511991039999961</v>
      </c>
    </row>
    <row r="82" spans="1:4" ht="12.75">
      <c r="A82" t="s">
        <v>28</v>
      </c>
      <c r="C82" s="3"/>
      <c r="D82" s="3"/>
    </row>
    <row r="84" spans="1:7" ht="12.7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</row>
    <row r="85" spans="1:7" ht="12.75">
      <c r="A85" s="11">
        <v>105</v>
      </c>
      <c r="B85">
        <f>(A85-offset1)/gain1</f>
        <v>1.0161485269528288</v>
      </c>
      <c r="G85">
        <f>corr2*(E85+F85)/(D85-14)</f>
        <v>0</v>
      </c>
    </row>
    <row r="86" spans="1:15" ht="12.75">
      <c r="A86">
        <v>180</v>
      </c>
      <c r="B86">
        <f>(A86-offset1)/gain1</f>
        <v>1.6667772866998392</v>
      </c>
      <c r="D86" s="11"/>
      <c r="E86" s="11"/>
      <c r="F86" s="11"/>
      <c r="G86">
        <f>corr2*(E86+F86)/(D86-14*2)</f>
        <v>0</v>
      </c>
      <c r="N86">
        <v>2.01</v>
      </c>
      <c r="O86">
        <f aca="true" t="shared" si="4" ref="O86:O92">0.0188*N86^2-0.5533*N86+1.5361</f>
        <v>0.4999208800000001</v>
      </c>
    </row>
    <row r="87" spans="1:15" ht="12.75">
      <c r="A87">
        <v>210</v>
      </c>
      <c r="B87">
        <f>(A87-offset1)/gain1</f>
        <v>1.9270287905986432</v>
      </c>
      <c r="D87" s="11"/>
      <c r="E87" s="11"/>
      <c r="F87" s="11"/>
      <c r="G87">
        <f>corr2*(E87+F87)/(D87-14*2)</f>
        <v>0</v>
      </c>
      <c r="N87" s="4">
        <f>N86+0.01</f>
        <v>2.0199999999999996</v>
      </c>
      <c r="O87">
        <f t="shared" si="4"/>
        <v>0.4951455200000001</v>
      </c>
    </row>
    <row r="88" spans="1:15" ht="12.75">
      <c r="A88">
        <v>240</v>
      </c>
      <c r="B88">
        <f>(A88-offset1)/gain1</f>
        <v>2.187280294497447</v>
      </c>
      <c r="D88" s="11"/>
      <c r="E88" s="11"/>
      <c r="F88" s="11"/>
      <c r="G88">
        <f>corr2*(E88+F88)/(D88-14)</f>
        <v>0</v>
      </c>
      <c r="N88" s="4">
        <f>N87+0.01</f>
        <v>2.0299999999999994</v>
      </c>
      <c r="O88">
        <f t="shared" si="4"/>
        <v>0.49037392000000035</v>
      </c>
    </row>
    <row r="89" spans="4:15" ht="12.75">
      <c r="D89" s="11"/>
      <c r="E89" s="11"/>
      <c r="F89" s="11"/>
      <c r="N89" s="4">
        <f>N88+0.01</f>
        <v>2.039999999999999</v>
      </c>
      <c r="O89">
        <f t="shared" si="4"/>
        <v>0.4856060800000004</v>
      </c>
    </row>
    <row r="90" spans="4:15" ht="12.75">
      <c r="D90" s="11"/>
      <c r="E90" s="11"/>
      <c r="F90" s="11"/>
      <c r="N90" s="4">
        <f>N89+0.01</f>
        <v>2.049999999999999</v>
      </c>
      <c r="O90">
        <f t="shared" si="4"/>
        <v>0.48084200000000044</v>
      </c>
    </row>
    <row r="91" spans="4:15" ht="12.75">
      <c r="D91" s="11"/>
      <c r="E91" s="11"/>
      <c r="F91" s="11"/>
      <c r="N91" s="4">
        <f>N90+0.01</f>
        <v>2.0599999999999987</v>
      </c>
      <c r="O91">
        <f t="shared" si="4"/>
        <v>0.4760816800000005</v>
      </c>
    </row>
    <row r="92" spans="14:15" ht="12.75">
      <c r="N92" s="5">
        <v>1.81</v>
      </c>
      <c r="O92">
        <f t="shared" si="4"/>
        <v>0.59621768</v>
      </c>
    </row>
    <row r="96" ht="12.75">
      <c r="N96" s="4"/>
    </row>
    <row r="100" spans="1:4" ht="12.75">
      <c r="A100" t="s">
        <v>42</v>
      </c>
      <c r="C100" s="3"/>
      <c r="D100" s="3"/>
    </row>
    <row r="102" spans="1:15" ht="12.7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N102">
        <v>2.67</v>
      </c>
      <c r="O102">
        <f aca="true" t="shared" si="5" ref="O102:O107">-0.6615*N102+2.2674</f>
        <v>0.5011950000000001</v>
      </c>
    </row>
    <row r="103" spans="1:15" ht="12.75">
      <c r="A103">
        <v>105</v>
      </c>
      <c r="B103">
        <f aca="true" t="shared" si="6" ref="B103:B109">(A103-offset1)/gain1</f>
        <v>1.0161485269528288</v>
      </c>
      <c r="G103">
        <f>corr*(E103+F103)/(D103-14)</f>
        <v>0</v>
      </c>
      <c r="N103" s="4">
        <f>N102+0.01</f>
        <v>2.6799999999999997</v>
      </c>
      <c r="O103">
        <f t="shared" si="5"/>
        <v>0.49458</v>
      </c>
    </row>
    <row r="104" spans="1:15" ht="12.75">
      <c r="A104" s="11">
        <v>210</v>
      </c>
      <c r="B104">
        <f t="shared" si="6"/>
        <v>1.9270287905986432</v>
      </c>
      <c r="G104">
        <f>corr*(E104+F104)/(D104-14)</f>
        <v>0</v>
      </c>
      <c r="N104" s="4">
        <f>N103+0.01</f>
        <v>2.6899999999999995</v>
      </c>
      <c r="O104">
        <f t="shared" si="5"/>
        <v>0.4879650000000002</v>
      </c>
    </row>
    <row r="105" spans="1:15" ht="12.75">
      <c r="A105">
        <v>240</v>
      </c>
      <c r="B105">
        <f t="shared" si="6"/>
        <v>2.187280294497447</v>
      </c>
      <c r="G105">
        <f>corr*(E105+F105)/(D105-14)</f>
        <v>0</v>
      </c>
      <c r="N105" s="4">
        <f>N104+0.01</f>
        <v>2.6999999999999993</v>
      </c>
      <c r="O105">
        <f t="shared" si="5"/>
        <v>0.4813500000000004</v>
      </c>
    </row>
    <row r="106" spans="1:15" ht="12.75">
      <c r="A106">
        <v>270</v>
      </c>
      <c r="B106">
        <f t="shared" si="6"/>
        <v>2.4475317983962515</v>
      </c>
      <c r="G106">
        <f>corr2*(E106+F106)/(D106-14)</f>
        <v>0</v>
      </c>
      <c r="N106" s="4">
        <f>N105+0.01</f>
        <v>2.709999999999999</v>
      </c>
      <c r="O106">
        <f t="shared" si="5"/>
        <v>0.4747350000000006</v>
      </c>
    </row>
    <row r="107" spans="1:15" ht="12.75">
      <c r="A107">
        <v>300</v>
      </c>
      <c r="B107">
        <f t="shared" si="6"/>
        <v>2.7077833022950553</v>
      </c>
      <c r="G107">
        <f>corr2*(E107+F107)/(D107-14)</f>
        <v>0</v>
      </c>
      <c r="N107" s="4">
        <f>N106+0.01</f>
        <v>2.719999999999999</v>
      </c>
      <c r="O107">
        <f t="shared" si="5"/>
        <v>0.46812000000000076</v>
      </c>
    </row>
    <row r="108" spans="1:7" ht="12.75">
      <c r="A108">
        <v>330</v>
      </c>
      <c r="B108">
        <f t="shared" si="6"/>
        <v>2.9680348061938595</v>
      </c>
      <c r="G108">
        <f>corr*(E108+F108)/(D108-14)</f>
        <v>0</v>
      </c>
    </row>
    <row r="109" spans="1:7" ht="12.75">
      <c r="A109">
        <v>360</v>
      </c>
      <c r="B109">
        <f t="shared" si="6"/>
        <v>3.2282863100926638</v>
      </c>
      <c r="G109">
        <f>corr*(E109+F109)/(D109-14)</f>
        <v>0</v>
      </c>
    </row>
    <row r="112" spans="1:4" ht="12.75">
      <c r="A112" t="s">
        <v>43</v>
      </c>
      <c r="C112" s="3"/>
      <c r="D112" s="3"/>
    </row>
    <row r="114" spans="1:7" ht="12.75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</row>
    <row r="115" spans="1:7" ht="12.75">
      <c r="A115">
        <v>240</v>
      </c>
      <c r="B115">
        <f aca="true" t="shared" si="7" ref="B115:B121">(A115-offset1)/gain1</f>
        <v>2.187280294497447</v>
      </c>
      <c r="G115">
        <f>corr*(E115+F115)/(D115-14)</f>
        <v>0</v>
      </c>
    </row>
    <row r="116" spans="1:15" ht="12.75">
      <c r="A116">
        <v>270</v>
      </c>
      <c r="B116">
        <f t="shared" si="7"/>
        <v>2.4475317983962515</v>
      </c>
      <c r="G116">
        <f>corr*(E116+F116)/(D116-14)</f>
        <v>0</v>
      </c>
      <c r="N116">
        <v>3.11</v>
      </c>
      <c r="O116">
        <f aca="true" t="shared" si="8" ref="O116:O121">-0.33*N116+1.5275</f>
        <v>0.5012000000000001</v>
      </c>
    </row>
    <row r="117" spans="1:15" ht="12.75">
      <c r="A117">
        <v>300</v>
      </c>
      <c r="B117">
        <f t="shared" si="7"/>
        <v>2.7077833022950553</v>
      </c>
      <c r="G117">
        <f>corr2*(E117+F117)/(D117-14)</f>
        <v>0</v>
      </c>
      <c r="N117">
        <f>N116+0.01</f>
        <v>3.1199999999999997</v>
      </c>
      <c r="O117">
        <f t="shared" si="8"/>
        <v>0.49790000000000023</v>
      </c>
    </row>
    <row r="118" spans="1:15" ht="12.75">
      <c r="A118">
        <v>330</v>
      </c>
      <c r="B118">
        <f t="shared" si="7"/>
        <v>2.9680348061938595</v>
      </c>
      <c r="G118">
        <f>corr2*(E118+F118)/(D118-14)</f>
        <v>0</v>
      </c>
      <c r="N118">
        <f>N117+0.01</f>
        <v>3.1299999999999994</v>
      </c>
      <c r="O118">
        <f t="shared" si="8"/>
        <v>0.49460000000000015</v>
      </c>
    </row>
    <row r="119" spans="1:15" ht="12.75">
      <c r="A119">
        <v>360</v>
      </c>
      <c r="B119">
        <f t="shared" si="7"/>
        <v>3.2282863100926638</v>
      </c>
      <c r="G119">
        <f>corr2*(E119+F119)/(D119-14)</f>
        <v>0</v>
      </c>
      <c r="N119">
        <f>N118+0.01</f>
        <v>3.1399999999999992</v>
      </c>
      <c r="O119">
        <f t="shared" si="8"/>
        <v>0.4913000000000003</v>
      </c>
    </row>
    <row r="120" spans="1:15" ht="12.75">
      <c r="A120">
        <v>390</v>
      </c>
      <c r="B120">
        <f t="shared" si="7"/>
        <v>3.4885378139914676</v>
      </c>
      <c r="G120">
        <f>corr2*(E120+F120)/(D120-14)</f>
        <v>0</v>
      </c>
      <c r="N120">
        <f>N119+0.01</f>
        <v>3.149999999999999</v>
      </c>
      <c r="O120">
        <f t="shared" si="8"/>
        <v>0.48800000000000043</v>
      </c>
    </row>
    <row r="121" spans="1:15" ht="12.75">
      <c r="A121">
        <v>420</v>
      </c>
      <c r="B121">
        <f t="shared" si="7"/>
        <v>3.748789317890272</v>
      </c>
      <c r="G121">
        <f>corr2*(E121+F121)/(D121-14)</f>
        <v>0</v>
      </c>
      <c r="N121">
        <f>N120+0.01</f>
        <v>3.159999999999999</v>
      </c>
      <c r="O121">
        <f t="shared" si="8"/>
        <v>0.48470000000000035</v>
      </c>
    </row>
    <row r="124" spans="1:4" ht="12.75">
      <c r="A124" t="s">
        <v>44</v>
      </c>
      <c r="C124" s="3"/>
      <c r="D124" s="3"/>
    </row>
    <row r="126" spans="1:7" ht="12.75">
      <c r="A126" t="s">
        <v>0</v>
      </c>
      <c r="B126" t="s">
        <v>1</v>
      </c>
      <c r="C126" t="s">
        <v>2</v>
      </c>
      <c r="D126" t="s">
        <v>3</v>
      </c>
      <c r="E126" t="s">
        <v>4</v>
      </c>
      <c r="F126" t="s">
        <v>5</v>
      </c>
      <c r="G126" t="s">
        <v>6</v>
      </c>
    </row>
    <row r="127" spans="1:7" ht="12.75">
      <c r="A127">
        <v>270</v>
      </c>
      <c r="B127">
        <f aca="true" t="shared" si="9" ref="B127:B132">(A127-offset1)/gain1</f>
        <v>2.4475317983962515</v>
      </c>
      <c r="G127">
        <f aca="true" t="shared" si="10" ref="G127:G132">1.019459*(E127+F127)/(D127-14)</f>
        <v>0</v>
      </c>
    </row>
    <row r="128" spans="1:7" ht="12.75">
      <c r="A128">
        <v>300</v>
      </c>
      <c r="B128">
        <f t="shared" si="9"/>
        <v>2.7077833022950553</v>
      </c>
      <c r="G128">
        <f t="shared" si="10"/>
        <v>0</v>
      </c>
    </row>
    <row r="129" spans="1:15" ht="12.75">
      <c r="A129">
        <v>330</v>
      </c>
      <c r="B129">
        <f t="shared" si="9"/>
        <v>2.9680348061938595</v>
      </c>
      <c r="G129">
        <f t="shared" si="10"/>
        <v>0</v>
      </c>
      <c r="N129">
        <v>3.4</v>
      </c>
      <c r="O129">
        <f aca="true" t="shared" si="11" ref="O129:O135">-0.3478*N129^3+3.4312*N129^2-11.36*N129+13.128</f>
        <v>0.4987408000000002</v>
      </c>
    </row>
    <row r="130" spans="1:15" ht="12.75">
      <c r="A130">
        <v>360</v>
      </c>
      <c r="B130">
        <f t="shared" si="9"/>
        <v>3.2282863100926638</v>
      </c>
      <c r="G130">
        <f t="shared" si="10"/>
        <v>0</v>
      </c>
      <c r="N130">
        <f aca="true" t="shared" si="12" ref="N130:N135">N129+0.01</f>
        <v>3.4099999999999997</v>
      </c>
      <c r="O130">
        <f t="shared" si="11"/>
        <v>0.49783337620000623</v>
      </c>
    </row>
    <row r="131" spans="1:15" ht="12.75">
      <c r="A131">
        <v>390</v>
      </c>
      <c r="B131">
        <f t="shared" si="9"/>
        <v>3.4885378139914676</v>
      </c>
      <c r="G131">
        <f t="shared" si="10"/>
        <v>0</v>
      </c>
      <c r="N131">
        <f t="shared" si="12"/>
        <v>3.4199999999999995</v>
      </c>
      <c r="O131">
        <f t="shared" si="11"/>
        <v>0.49690059360000305</v>
      </c>
    </row>
    <row r="132" spans="1:15" ht="12.75">
      <c r="A132">
        <v>420</v>
      </c>
      <c r="B132">
        <f t="shared" si="9"/>
        <v>3.748789317890272</v>
      </c>
      <c r="G132">
        <f t="shared" si="10"/>
        <v>0</v>
      </c>
      <c r="N132">
        <f t="shared" si="12"/>
        <v>3.4299999999999993</v>
      </c>
      <c r="O132">
        <f t="shared" si="11"/>
        <v>0.49594036540000275</v>
      </c>
    </row>
    <row r="133" spans="14:15" ht="12.75">
      <c r="N133">
        <f t="shared" si="12"/>
        <v>3.439999999999999</v>
      </c>
      <c r="O133">
        <f t="shared" si="11"/>
        <v>0.49495060479999964</v>
      </c>
    </row>
    <row r="134" spans="14:15" ht="12.75">
      <c r="N134">
        <f t="shared" si="12"/>
        <v>3.449999999999999</v>
      </c>
      <c r="O134">
        <f t="shared" si="11"/>
        <v>0.4939292250000058</v>
      </c>
    </row>
    <row r="135" spans="14:15" ht="12.75">
      <c r="N135">
        <f t="shared" si="12"/>
        <v>3.4599999999999986</v>
      </c>
      <c r="O135">
        <f t="shared" si="11"/>
        <v>0.49287413920000134</v>
      </c>
    </row>
    <row r="136" spans="1:4" ht="12.75">
      <c r="A136" t="s">
        <v>45</v>
      </c>
      <c r="C136" s="3"/>
      <c r="D136" s="3"/>
    </row>
    <row r="138" spans="1:7" ht="12.75">
      <c r="A138" t="s">
        <v>0</v>
      </c>
      <c r="B138" t="s">
        <v>1</v>
      </c>
      <c r="C138" t="s">
        <v>2</v>
      </c>
      <c r="D138" t="s">
        <v>3</v>
      </c>
      <c r="E138" t="s">
        <v>4</v>
      </c>
      <c r="F138" t="s">
        <v>5</v>
      </c>
      <c r="G138" t="s">
        <v>6</v>
      </c>
    </row>
    <row r="139" spans="1:7" ht="12.75">
      <c r="A139">
        <v>270</v>
      </c>
      <c r="B139">
        <f aca="true" t="shared" si="13" ref="B139:B144">(A139-offset1)/gain1</f>
        <v>2.4475317983962515</v>
      </c>
      <c r="G139">
        <f>1.019459*(E139+F139)/(D139-14)</f>
        <v>0</v>
      </c>
    </row>
    <row r="140" spans="1:2" ht="12.75">
      <c r="A140">
        <v>300</v>
      </c>
      <c r="B140">
        <f t="shared" si="13"/>
        <v>2.7077833022950553</v>
      </c>
    </row>
    <row r="141" spans="1:7" ht="12.75">
      <c r="A141">
        <v>330</v>
      </c>
      <c r="B141">
        <f t="shared" si="13"/>
        <v>2.9680348061938595</v>
      </c>
      <c r="G141">
        <f>1.019459*(E141+F141)/(D141-14)</f>
        <v>0</v>
      </c>
    </row>
    <row r="142" spans="1:7" ht="12.75">
      <c r="A142">
        <v>360</v>
      </c>
      <c r="B142">
        <f t="shared" si="13"/>
        <v>3.2282863100926638</v>
      </c>
      <c r="G142">
        <f>1.019459*(E142+F142)/(D142-14)</f>
        <v>0</v>
      </c>
    </row>
    <row r="143" spans="1:7" ht="12.75">
      <c r="A143">
        <v>390</v>
      </c>
      <c r="B143">
        <f t="shared" si="13"/>
        <v>3.4885378139914676</v>
      </c>
      <c r="G143">
        <f>1.019459*(E143+F143)/(D143-14)</f>
        <v>0</v>
      </c>
    </row>
    <row r="144" spans="1:7" ht="12.75">
      <c r="A144">
        <v>420</v>
      </c>
      <c r="B144">
        <f t="shared" si="13"/>
        <v>3.748789317890272</v>
      </c>
      <c r="G144">
        <f>1.019459*(E144+F144)/(D144-14)</f>
        <v>0</v>
      </c>
    </row>
    <row r="149" spans="1:4" ht="12.75">
      <c r="A149" t="s">
        <v>46</v>
      </c>
      <c r="C149" s="3"/>
      <c r="D149" s="3"/>
    </row>
    <row r="151" spans="1:7" ht="12.7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</row>
    <row r="152" spans="1:7" ht="12.75">
      <c r="A152">
        <v>270</v>
      </c>
      <c r="B152">
        <f aca="true" t="shared" si="14" ref="B152:B157">(A152-offset1)/gain1</f>
        <v>2.4475317983962515</v>
      </c>
      <c r="G152">
        <f aca="true" t="shared" si="15" ref="G152:G157">1.019459*(E152+F152)/(D152-14)</f>
        <v>0</v>
      </c>
    </row>
    <row r="153" spans="1:7" ht="12.75">
      <c r="A153">
        <v>300</v>
      </c>
      <c r="B153">
        <f t="shared" si="14"/>
        <v>2.7077833022950553</v>
      </c>
      <c r="G153">
        <f t="shared" si="15"/>
        <v>0</v>
      </c>
    </row>
    <row r="154" spans="1:7" ht="12.75">
      <c r="A154">
        <v>330</v>
      </c>
      <c r="B154">
        <f t="shared" si="14"/>
        <v>2.9680348061938595</v>
      </c>
      <c r="G154">
        <f t="shared" si="15"/>
        <v>0</v>
      </c>
    </row>
    <row r="155" spans="1:7" ht="12.75">
      <c r="A155">
        <v>360</v>
      </c>
      <c r="B155">
        <f t="shared" si="14"/>
        <v>3.2282863100926638</v>
      </c>
      <c r="G155">
        <f t="shared" si="15"/>
        <v>0</v>
      </c>
    </row>
    <row r="156" spans="1:7" ht="12.75">
      <c r="A156">
        <v>390</v>
      </c>
      <c r="B156">
        <f t="shared" si="14"/>
        <v>3.4885378139914676</v>
      </c>
      <c r="G156">
        <f t="shared" si="15"/>
        <v>0</v>
      </c>
    </row>
    <row r="157" spans="1:7" ht="12.75">
      <c r="A157">
        <v>420</v>
      </c>
      <c r="B157">
        <f t="shared" si="14"/>
        <v>3.748789317890272</v>
      </c>
      <c r="G157">
        <f t="shared" si="15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7"/>
  <sheetViews>
    <sheetView workbookViewId="0" topLeftCell="A1">
      <selection activeCell="N24" sqref="N24"/>
    </sheetView>
  </sheetViews>
  <sheetFormatPr defaultColWidth="9.140625" defaultRowHeight="12.75"/>
  <cols>
    <col min="1" max="1" width="9.7109375" style="0" customWidth="1"/>
    <col min="3" max="3" width="9.7109375" style="0" customWidth="1"/>
    <col min="12" max="12" width="9.421875" style="0" customWidth="1"/>
  </cols>
  <sheetData>
    <row r="1" spans="1:25" ht="12.75">
      <c r="A1" s="2" t="s">
        <v>26</v>
      </c>
      <c r="C1" t="s">
        <v>36</v>
      </c>
      <c r="E1" t="s">
        <v>37</v>
      </c>
      <c r="H1" t="s">
        <v>35</v>
      </c>
      <c r="L1" t="s">
        <v>13</v>
      </c>
      <c r="M1" t="s">
        <v>14</v>
      </c>
      <c r="N1" t="s">
        <v>10</v>
      </c>
      <c r="O1" t="s">
        <v>48</v>
      </c>
      <c r="P1" t="s">
        <v>47</v>
      </c>
      <c r="Q1" t="s">
        <v>7</v>
      </c>
      <c r="R1" t="s">
        <v>7</v>
      </c>
      <c r="S1" s="4"/>
      <c r="T1" s="4"/>
      <c r="U1" s="4"/>
      <c r="V1" s="4"/>
      <c r="W1" s="4"/>
      <c r="X1" s="4"/>
      <c r="Y1" s="4"/>
    </row>
    <row r="2" spans="1:25" ht="12.75">
      <c r="A2" s="2"/>
      <c r="H2" t="s">
        <v>15</v>
      </c>
      <c r="L2">
        <v>150</v>
      </c>
      <c r="M2">
        <f>G16</f>
        <v>0.17016029593094945</v>
      </c>
      <c r="P2">
        <v>4.6</v>
      </c>
      <c r="S2" s="4"/>
      <c r="T2" s="4"/>
      <c r="U2" s="4"/>
      <c r="V2" s="4"/>
      <c r="W2" s="4"/>
      <c r="X2" s="4"/>
      <c r="Y2" s="4"/>
    </row>
    <row r="3" spans="3:25" ht="12.75">
      <c r="C3">
        <v>115.27310909090909</v>
      </c>
      <c r="E3">
        <v>-12.134600000000002</v>
      </c>
      <c r="H3">
        <v>1</v>
      </c>
      <c r="L3">
        <v>170</v>
      </c>
      <c r="M3">
        <f>G25</f>
        <v>0</v>
      </c>
      <c r="S3" s="5"/>
      <c r="T3" s="5"/>
      <c r="U3" s="5"/>
      <c r="V3" s="4"/>
      <c r="W3" s="5"/>
      <c r="X3" s="5"/>
      <c r="Y3" s="6"/>
    </row>
    <row r="4" spans="12:25" ht="12.75">
      <c r="L4">
        <v>200</v>
      </c>
      <c r="M4">
        <f>G33</f>
        <v>0.20425013356766256</v>
      </c>
      <c r="N4">
        <f>N34</f>
        <v>0</v>
      </c>
      <c r="P4">
        <v>6.2</v>
      </c>
      <c r="S4" s="5"/>
      <c r="T4" s="5"/>
      <c r="U4" s="5"/>
      <c r="V4" s="4"/>
      <c r="W4" s="5"/>
      <c r="X4" s="5"/>
      <c r="Y4" s="5"/>
    </row>
    <row r="5" spans="12:25" ht="12.75">
      <c r="L5">
        <v>250</v>
      </c>
      <c r="M5">
        <f>G44</f>
        <v>0.3686637763041556</v>
      </c>
      <c r="N5">
        <f>N42</f>
        <v>0.89</v>
      </c>
      <c r="P5">
        <v>8.3</v>
      </c>
      <c r="S5" s="5"/>
      <c r="T5" s="5"/>
      <c r="U5" s="5"/>
      <c r="V5" s="4"/>
      <c r="W5" s="5"/>
      <c r="X5" s="5"/>
      <c r="Y5" s="5"/>
    </row>
    <row r="6" spans="12:25" ht="12.75">
      <c r="L6">
        <v>300</v>
      </c>
      <c r="M6">
        <f>G54</f>
        <v>0.5888608941532257</v>
      </c>
      <c r="N6">
        <f>N56</f>
        <v>1.12</v>
      </c>
      <c r="P6">
        <v>10.9</v>
      </c>
      <c r="S6" s="5"/>
      <c r="T6" s="5"/>
      <c r="U6" s="5"/>
      <c r="V6" s="4"/>
      <c r="W6" s="5"/>
      <c r="X6" s="5"/>
      <c r="Y6" s="5"/>
    </row>
    <row r="7" spans="12:25" ht="12.75">
      <c r="L7">
        <v>350</v>
      </c>
      <c r="M7">
        <f>G66</f>
        <v>0.6899128268991283</v>
      </c>
      <c r="N7" s="4">
        <f>N66</f>
        <v>1.34</v>
      </c>
      <c r="P7">
        <v>13.9</v>
      </c>
      <c r="S7" s="5"/>
      <c r="T7" s="5"/>
      <c r="U7" s="5"/>
      <c r="V7" s="4"/>
      <c r="W7" s="5"/>
      <c r="X7" s="5"/>
      <c r="Y7" s="5"/>
    </row>
    <row r="8" spans="12:25" ht="12.75">
      <c r="L8">
        <v>400</v>
      </c>
      <c r="M8">
        <f>G81</f>
        <v>0.8390646492434664</v>
      </c>
      <c r="N8">
        <f>N82</f>
        <v>1.63</v>
      </c>
      <c r="P8">
        <v>16.8</v>
      </c>
      <c r="S8" s="5"/>
      <c r="T8" s="8"/>
      <c r="U8" s="5"/>
      <c r="V8" s="4"/>
      <c r="W8" s="5"/>
      <c r="X8" s="5"/>
      <c r="Y8" s="5"/>
    </row>
    <row r="9" spans="12:25" ht="12.75">
      <c r="L9">
        <v>450</v>
      </c>
      <c r="M9">
        <f>G96</f>
        <v>0.879284649776453</v>
      </c>
      <c r="N9">
        <f>N97</f>
        <v>1.85</v>
      </c>
      <c r="O9" s="4"/>
      <c r="P9" s="4">
        <v>19.9</v>
      </c>
      <c r="Q9" s="4"/>
      <c r="S9" s="5"/>
      <c r="T9" s="5"/>
      <c r="U9" s="5"/>
      <c r="V9" s="4"/>
      <c r="W9" s="5"/>
      <c r="X9" s="5"/>
      <c r="Y9" s="5"/>
    </row>
    <row r="10" spans="12:25" ht="12.75">
      <c r="L10">
        <v>500</v>
      </c>
      <c r="M10">
        <f>G111</f>
        <v>0.8554216867469879</v>
      </c>
      <c r="N10" s="4">
        <f>N111</f>
        <v>2.17</v>
      </c>
      <c r="O10" s="12"/>
      <c r="P10" s="12">
        <v>26</v>
      </c>
      <c r="Q10" s="4"/>
      <c r="S10" s="4"/>
      <c r="T10" s="4"/>
      <c r="U10" s="4"/>
      <c r="V10" s="4"/>
      <c r="W10" s="4"/>
      <c r="X10" s="4"/>
      <c r="Y10" s="4"/>
    </row>
    <row r="11" spans="12:25" ht="12.75">
      <c r="L11">
        <v>600</v>
      </c>
      <c r="M11">
        <f>G126</f>
        <v>0</v>
      </c>
      <c r="N11" s="4">
        <f>N125</f>
        <v>2.7</v>
      </c>
      <c r="O11" s="12"/>
      <c r="P11" s="12">
        <v>52</v>
      </c>
      <c r="Q11" s="4"/>
      <c r="S11" s="4"/>
      <c r="T11" s="4"/>
      <c r="U11" s="4"/>
      <c r="V11" s="4"/>
      <c r="W11" s="4"/>
      <c r="X11" s="4"/>
      <c r="Y11" s="4"/>
    </row>
    <row r="12" spans="12:25" ht="12.75">
      <c r="L12">
        <v>700</v>
      </c>
      <c r="N12" s="4">
        <f>N139</f>
        <v>2.83</v>
      </c>
      <c r="O12" s="4"/>
      <c r="P12" s="12">
        <v>160</v>
      </c>
      <c r="Q12" s="4"/>
      <c r="S12" s="4"/>
      <c r="T12" s="4"/>
      <c r="U12" s="4"/>
      <c r="V12" s="4"/>
      <c r="W12" s="4"/>
      <c r="X12" s="4"/>
      <c r="Y12" s="4"/>
    </row>
    <row r="13" spans="1:25" ht="12.75">
      <c r="A13" t="s">
        <v>40</v>
      </c>
      <c r="L13">
        <v>800</v>
      </c>
      <c r="N13" s="4">
        <f>N152</f>
        <v>3.4</v>
      </c>
      <c r="O13" s="4"/>
      <c r="P13" s="4"/>
      <c r="Q13" s="4"/>
      <c r="S13" s="4"/>
      <c r="T13" s="4"/>
      <c r="U13" s="4"/>
      <c r="V13" s="4"/>
      <c r="W13" s="4"/>
      <c r="X13" s="4"/>
      <c r="Y13" s="4"/>
    </row>
    <row r="14" spans="14:17" ht="12.75">
      <c r="N14" s="4"/>
      <c r="O14" s="4"/>
      <c r="P14" s="4"/>
      <c r="Q14" s="4"/>
    </row>
    <row r="15" spans="1:17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N15" s="4"/>
      <c r="O15" s="4"/>
      <c r="P15" s="4"/>
      <c r="Q15" s="4"/>
    </row>
    <row r="16" spans="1:17" ht="12.75">
      <c r="A16">
        <v>85</v>
      </c>
      <c r="B16">
        <f>(A16-offset1)/gain1</f>
        <v>0.842647524353626</v>
      </c>
      <c r="C16">
        <v>10009</v>
      </c>
      <c r="D16">
        <v>2447</v>
      </c>
      <c r="E16">
        <v>44</v>
      </c>
      <c r="F16">
        <v>370</v>
      </c>
      <c r="G16">
        <f>corr*(E16+F16)/(D16-14)</f>
        <v>0.17016029593094945</v>
      </c>
      <c r="N16" s="4"/>
      <c r="O16" s="7"/>
      <c r="P16" s="5"/>
      <c r="Q16" s="4"/>
    </row>
    <row r="17" spans="1:17" ht="12.75">
      <c r="A17">
        <v>105</v>
      </c>
      <c r="B17">
        <f>(A17-offset1)/gain1</f>
        <v>1.0161485269528288</v>
      </c>
      <c r="C17">
        <v>6818</v>
      </c>
      <c r="D17">
        <v>2340</v>
      </c>
      <c r="E17">
        <v>13</v>
      </c>
      <c r="F17">
        <v>190</v>
      </c>
      <c r="G17">
        <f>corr*(E17+F17)/(D17-14)</f>
        <v>0.08727429062768702</v>
      </c>
      <c r="N17" s="5"/>
      <c r="O17" s="7"/>
      <c r="P17" s="4"/>
      <c r="Q17" s="4"/>
    </row>
    <row r="18" spans="14:17" ht="12.75">
      <c r="N18" s="4"/>
      <c r="O18" s="4"/>
      <c r="P18" s="4"/>
      <c r="Q18" s="4"/>
    </row>
    <row r="19" spans="14:17" ht="12.75">
      <c r="N19" s="4"/>
      <c r="O19" s="4"/>
      <c r="P19" s="4"/>
      <c r="Q19" s="4"/>
    </row>
    <row r="20" spans="14:17" ht="12.75">
      <c r="N20" s="4"/>
      <c r="O20" s="4"/>
      <c r="P20" s="4"/>
      <c r="Q20" s="4"/>
    </row>
    <row r="21" spans="1:17" ht="12.75">
      <c r="A21" t="s">
        <v>41</v>
      </c>
      <c r="N21" s="4"/>
      <c r="O21" s="4"/>
      <c r="P21" s="4"/>
      <c r="Q21" s="4"/>
    </row>
    <row r="22" spans="14:17" ht="12.75">
      <c r="N22" s="4"/>
      <c r="O22" s="4"/>
      <c r="P22" s="4"/>
      <c r="Q22" s="4"/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N23" s="4"/>
      <c r="O23" s="4"/>
      <c r="P23" s="4"/>
      <c r="Q23" s="4"/>
    </row>
    <row r="24" spans="1:17" ht="12.75">
      <c r="A24">
        <v>105</v>
      </c>
      <c r="B24">
        <f>(A24-offset1)/gain1</f>
        <v>1.0161485269528288</v>
      </c>
      <c r="C24">
        <v>8029</v>
      </c>
      <c r="D24">
        <v>2441</v>
      </c>
      <c r="E24">
        <v>27</v>
      </c>
      <c r="F24">
        <v>248</v>
      </c>
      <c r="G24">
        <f>corr*(E24+F24)/(D24-14)</f>
        <v>0.11330861145447053</v>
      </c>
      <c r="N24" s="4"/>
      <c r="O24" s="4"/>
      <c r="P24" s="4"/>
      <c r="Q24" s="4"/>
    </row>
    <row r="25" spans="1:17" ht="12.75">
      <c r="A25" s="1"/>
      <c r="N25" s="4"/>
      <c r="O25" s="4"/>
      <c r="P25" s="4"/>
      <c r="Q25" s="4"/>
    </row>
    <row r="26" spans="14:17" ht="12.75">
      <c r="N26" s="4"/>
      <c r="O26" s="4"/>
      <c r="P26" s="5"/>
      <c r="Q26" s="4"/>
    </row>
    <row r="27" spans="14:17" ht="12.75">
      <c r="N27" s="4"/>
      <c r="O27" s="4"/>
      <c r="P27" s="4"/>
      <c r="Q27" s="4"/>
    </row>
    <row r="28" spans="14:17" ht="12.75">
      <c r="N28" s="4"/>
      <c r="O28" s="4"/>
      <c r="P28" s="4"/>
      <c r="Q28" s="4"/>
    </row>
    <row r="29" spans="14:17" ht="12.75">
      <c r="N29" s="4"/>
      <c r="O29" s="4"/>
      <c r="P29" s="4"/>
      <c r="Q29" s="4"/>
    </row>
    <row r="30" spans="1:17" ht="12.75">
      <c r="A30" t="s">
        <v>11</v>
      </c>
      <c r="B30" t="s">
        <v>23</v>
      </c>
      <c r="N30" s="4"/>
      <c r="O30" s="4"/>
      <c r="P30" s="4"/>
      <c r="Q30" s="4"/>
    </row>
    <row r="31" spans="14:17" ht="12.75">
      <c r="N31" s="4"/>
      <c r="O31" s="4"/>
      <c r="P31" s="4"/>
      <c r="Q31" s="4"/>
    </row>
    <row r="32" spans="1:17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N32" s="4"/>
      <c r="O32" s="4"/>
      <c r="P32" s="4"/>
      <c r="Q32" s="4"/>
    </row>
    <row r="33" spans="1:17" ht="12.75">
      <c r="A33">
        <v>105</v>
      </c>
      <c r="B33">
        <f>(A33-offset1)/gain1</f>
        <v>1.0161485269528288</v>
      </c>
      <c r="C33">
        <v>389732</v>
      </c>
      <c r="D33">
        <v>2304</v>
      </c>
      <c r="E33">
        <v>67</v>
      </c>
      <c r="F33">
        <v>389</v>
      </c>
      <c r="G33">
        <f>1.019459*(E33+F33)/(D33-14*2)</f>
        <v>0.20425013356766256</v>
      </c>
      <c r="N33" s="4"/>
      <c r="O33" s="4"/>
      <c r="P33" s="4"/>
      <c r="Q33" s="4"/>
    </row>
    <row r="34" spans="14:17" ht="12.75">
      <c r="N34" s="4"/>
      <c r="O34" s="4"/>
      <c r="P34" s="4"/>
      <c r="Q34" s="4"/>
    </row>
    <row r="35" spans="1:17" ht="12.75">
      <c r="A35" s="1"/>
      <c r="P35" s="4"/>
      <c r="Q35" s="4"/>
    </row>
    <row r="36" spans="16:17" ht="12.75">
      <c r="P36" s="4"/>
      <c r="Q36" s="4"/>
    </row>
    <row r="37" spans="16:17" ht="12.75">
      <c r="P37" s="4"/>
      <c r="Q37" s="4"/>
    </row>
    <row r="40" spans="1:4" ht="12.75">
      <c r="A40" t="s">
        <v>8</v>
      </c>
      <c r="B40" t="s">
        <v>23</v>
      </c>
      <c r="C40" s="3"/>
      <c r="D40" s="3"/>
    </row>
    <row r="42" spans="1:15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N42">
        <v>0.89</v>
      </c>
      <c r="O42">
        <f>0.4503*N42^2-1.9403*N42+1.8753</f>
        <v>0.5051156299999999</v>
      </c>
    </row>
    <row r="43" spans="1:15" ht="12.75">
      <c r="A43">
        <v>85</v>
      </c>
      <c r="B43">
        <f>(A43-offset1)/gain1</f>
        <v>0.842647524353626</v>
      </c>
      <c r="D43">
        <v>1121</v>
      </c>
      <c r="E43">
        <v>55</v>
      </c>
      <c r="F43">
        <v>565</v>
      </c>
      <c r="G43">
        <f>corr*(E43+F43)/(D43-14)</f>
        <v>0.5600722673893406</v>
      </c>
      <c r="N43">
        <f>N42+0.01</f>
        <v>0.9</v>
      </c>
      <c r="O43">
        <f aca="true" t="shared" si="0" ref="O43:O49">0.4503*N43^2-1.9403*N43+1.8753</f>
        <v>0.493773</v>
      </c>
    </row>
    <row r="44" spans="1:15" ht="12.75">
      <c r="A44" s="1">
        <v>105</v>
      </c>
      <c r="B44">
        <f>(A44-offset1)/gain1</f>
        <v>1.0161485269528288</v>
      </c>
      <c r="D44">
        <v>1159</v>
      </c>
      <c r="E44">
        <v>34</v>
      </c>
      <c r="F44">
        <v>375</v>
      </c>
      <c r="G44">
        <f>1.019459*(E44+F44)/(D44-14*2)</f>
        <v>0.3686637763041556</v>
      </c>
      <c r="N44">
        <f aca="true" t="shared" si="1" ref="N44:N49">N43+0.01</f>
        <v>0.91</v>
      </c>
      <c r="O44">
        <f t="shared" si="0"/>
        <v>0.4825204299999999</v>
      </c>
    </row>
    <row r="45" spans="1:15" ht="12.75">
      <c r="A45">
        <v>120</v>
      </c>
      <c r="B45">
        <f>(A45-offset1)/gain1</f>
        <v>1.1462742789022309</v>
      </c>
      <c r="D45">
        <v>1157</v>
      </c>
      <c r="E45">
        <v>25</v>
      </c>
      <c r="F45">
        <v>244</v>
      </c>
      <c r="G45">
        <f>1.019459*(E45+F45)/(D45-14*2)</f>
        <v>0.24290032860938882</v>
      </c>
      <c r="N45">
        <f t="shared" si="1"/>
        <v>0.92</v>
      </c>
      <c r="O45">
        <f t="shared" si="0"/>
        <v>0.47135791999999976</v>
      </c>
    </row>
    <row r="46" spans="14:15" ht="12.75">
      <c r="N46">
        <f t="shared" si="1"/>
        <v>0.93</v>
      </c>
      <c r="O46">
        <f t="shared" si="0"/>
        <v>0.4602854700000001</v>
      </c>
    </row>
    <row r="47" spans="14:16" ht="12.75">
      <c r="N47">
        <f t="shared" si="1"/>
        <v>0.9400000000000001</v>
      </c>
      <c r="O47">
        <f t="shared" si="0"/>
        <v>0.44930307999999997</v>
      </c>
      <c r="P47" s="2"/>
    </row>
    <row r="48" spans="14:15" ht="12.75">
      <c r="N48">
        <f t="shared" si="1"/>
        <v>0.9500000000000001</v>
      </c>
      <c r="O48">
        <f t="shared" si="0"/>
        <v>0.43841074999999985</v>
      </c>
    </row>
    <row r="49" spans="14:15" ht="12.75">
      <c r="N49">
        <f t="shared" si="1"/>
        <v>0.9600000000000001</v>
      </c>
      <c r="O49">
        <f t="shared" si="0"/>
        <v>0.42760847999999996</v>
      </c>
    </row>
    <row r="51" spans="1:4" ht="12.75">
      <c r="A51" t="s">
        <v>24</v>
      </c>
      <c r="C51" s="3"/>
      <c r="D51" s="3"/>
    </row>
    <row r="53" spans="1:7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</row>
    <row r="54" spans="1:7" ht="12.75">
      <c r="A54">
        <v>105</v>
      </c>
      <c r="B54">
        <f>(A54-offset1)/gain1</f>
        <v>1.0161485269528288</v>
      </c>
      <c r="D54">
        <v>1020</v>
      </c>
      <c r="E54">
        <v>59</v>
      </c>
      <c r="F54">
        <v>514</v>
      </c>
      <c r="G54">
        <f>1.019459*(E54+F54)/(D54-14*2)</f>
        <v>0.5888608941532257</v>
      </c>
    </row>
    <row r="55" spans="1:7" ht="12.75">
      <c r="A55">
        <v>120</v>
      </c>
      <c r="B55">
        <f>(A55-offset1)/gain1</f>
        <v>1.1462742789022309</v>
      </c>
      <c r="D55">
        <v>1136</v>
      </c>
      <c r="E55">
        <v>58</v>
      </c>
      <c r="F55">
        <v>460</v>
      </c>
      <c r="G55">
        <f>1.019459*(E55+F55)/(D55-14*2)</f>
        <v>0.47660628339350175</v>
      </c>
    </row>
    <row r="56" spans="1:15" ht="12.75">
      <c r="A56">
        <v>150</v>
      </c>
      <c r="B56">
        <f>(A56-offset1)/gain1</f>
        <v>1.406525782801035</v>
      </c>
      <c r="D56">
        <v>1155</v>
      </c>
      <c r="E56">
        <v>20</v>
      </c>
      <c r="F56">
        <v>255</v>
      </c>
      <c r="G56">
        <f>1.019459*(E56+F56)/(D56-14*2)</f>
        <v>0.24875885093167696</v>
      </c>
      <c r="N56" s="5">
        <v>1.12</v>
      </c>
      <c r="O56">
        <f>1.229*N56^3-4.4189*N56^2+4.3777*N56-0.5862</f>
        <v>0.5004123520000003</v>
      </c>
    </row>
    <row r="57" spans="1:15" ht="12.75">
      <c r="A57">
        <v>180</v>
      </c>
      <c r="B57">
        <f>(A57-offset1)/gain1</f>
        <v>1.6667772866998392</v>
      </c>
      <c r="D57">
        <v>1131</v>
      </c>
      <c r="E57">
        <v>12</v>
      </c>
      <c r="F57">
        <v>123</v>
      </c>
      <c r="G57">
        <f>1.019459*(E57+F57)/(D57-14*2)</f>
        <v>0.12477512692656391</v>
      </c>
      <c r="N57" s="4">
        <f>N56+0.01</f>
        <v>1.1300000000000001</v>
      </c>
      <c r="O57">
        <f>1.229*N57^3-4.4189*N57^2+4.3777*N57-0.5862</f>
        <v>0.49142800300000045</v>
      </c>
    </row>
    <row r="58" spans="14:15" ht="12.75">
      <c r="N58" s="4">
        <f>N57+0.01</f>
        <v>1.1400000000000001</v>
      </c>
      <c r="O58">
        <f>1.229*N58^3-4.4189*N58^2+4.3777*N58-0.5862</f>
        <v>0.48239313599999956</v>
      </c>
    </row>
    <row r="59" spans="14:15" ht="12.75">
      <c r="N59" s="4">
        <f>N58+0.01</f>
        <v>1.1500000000000001</v>
      </c>
      <c r="O59">
        <f>1.229*N59^3-4.4189*N59^2+4.3777*N59-0.5862</f>
        <v>0.4733151250000007</v>
      </c>
    </row>
    <row r="60" spans="14:15" ht="12.75">
      <c r="N60" s="4">
        <f>N59+0.01</f>
        <v>1.1600000000000001</v>
      </c>
      <c r="O60">
        <f>1.229*N60^3-4.4189*N60^2+4.3777*N60-0.5862</f>
        <v>0.4642013440000008</v>
      </c>
    </row>
    <row r="63" spans="1:4" ht="12.75">
      <c r="A63" t="s">
        <v>25</v>
      </c>
      <c r="C63" s="3"/>
      <c r="D63" s="3"/>
    </row>
    <row r="65" spans="1: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</row>
    <row r="66" spans="1:15" ht="12.75">
      <c r="A66">
        <v>105</v>
      </c>
      <c r="B66">
        <f>(A66-offset1)/gain1</f>
        <v>1.0161485269528288</v>
      </c>
      <c r="D66">
        <v>813</v>
      </c>
      <c r="E66">
        <v>59</v>
      </c>
      <c r="F66">
        <v>495</v>
      </c>
      <c r="G66">
        <f>corr*(E66+F66)/(D66-10)</f>
        <v>0.6899128268991283</v>
      </c>
      <c r="N66">
        <v>1.34</v>
      </c>
      <c r="O66">
        <f>1.2955*N66^3-5.4741*N66^2+6.8811*N66-2.0093</f>
        <v>0.4991877720000004</v>
      </c>
    </row>
    <row r="67" spans="1:15" ht="12.75">
      <c r="A67">
        <v>120</v>
      </c>
      <c r="B67">
        <f>(A67-offset1)/gain1</f>
        <v>1.1462742789022309</v>
      </c>
      <c r="D67">
        <v>1157</v>
      </c>
      <c r="E67">
        <v>43</v>
      </c>
      <c r="F67">
        <v>685</v>
      </c>
      <c r="G67">
        <f>corr*(E67+F67)/(D67-14)</f>
        <v>0.636920384951881</v>
      </c>
      <c r="N67" s="4">
        <f aca="true" t="shared" si="2" ref="N67:N73">N66+0.01</f>
        <v>1.35</v>
      </c>
      <c r="O67">
        <f aca="true" t="shared" si="3" ref="O67:O73">1.2955*N67^3-5.4741*N67^2+6.8811*N67-2.0093</f>
        <v>0.49105356250000076</v>
      </c>
    </row>
    <row r="68" spans="1:15" ht="12.75">
      <c r="A68">
        <v>150</v>
      </c>
      <c r="B68">
        <f>(A68-offset1)/gain1</f>
        <v>1.406525782801035</v>
      </c>
      <c r="D68">
        <v>1213</v>
      </c>
      <c r="E68">
        <v>51</v>
      </c>
      <c r="F68">
        <v>482</v>
      </c>
      <c r="G68">
        <f>corr*(E68+F68)/(D68-14)</f>
        <v>0.4445371142618849</v>
      </c>
      <c r="N68" s="4">
        <f t="shared" si="2"/>
        <v>1.36</v>
      </c>
      <c r="O68">
        <f t="shared" si="3"/>
        <v>0.48287388799999986</v>
      </c>
    </row>
    <row r="69" spans="1:15" ht="12.75">
      <c r="A69">
        <v>180</v>
      </c>
      <c r="B69">
        <f>(A69-offset1)/gain1</f>
        <v>1.6667772866998392</v>
      </c>
      <c r="D69">
        <v>1113</v>
      </c>
      <c r="E69">
        <v>18</v>
      </c>
      <c r="F69">
        <v>258</v>
      </c>
      <c r="G69">
        <f>corr*(E69+F69)/(D69-14)</f>
        <v>0.25113739763421294</v>
      </c>
      <c r="N69" s="4">
        <f t="shared" si="2"/>
        <v>1.37</v>
      </c>
      <c r="O69">
        <f t="shared" si="3"/>
        <v>0.47465652150000137</v>
      </c>
    </row>
    <row r="70" spans="1:15" ht="12.75">
      <c r="A70">
        <v>210</v>
      </c>
      <c r="B70">
        <f>(A70-offset1)/gain1</f>
        <v>1.9270287905986432</v>
      </c>
      <c r="G70">
        <f>corr*(E70+F70)/(D70-14)</f>
        <v>0</v>
      </c>
      <c r="N70" s="4">
        <f t="shared" si="2"/>
        <v>1.3800000000000001</v>
      </c>
      <c r="O70">
        <f t="shared" si="3"/>
        <v>0.46640923600000184</v>
      </c>
    </row>
    <row r="71" spans="14:15" ht="12.75">
      <c r="N71" s="4">
        <f t="shared" si="2"/>
        <v>1.3900000000000001</v>
      </c>
      <c r="O71">
        <f t="shared" si="3"/>
        <v>0.45813980450000136</v>
      </c>
    </row>
    <row r="72" spans="14:15" ht="12.75">
      <c r="N72" s="7">
        <v>1.4</v>
      </c>
      <c r="O72">
        <f t="shared" si="3"/>
        <v>0.4498560000000009</v>
      </c>
    </row>
    <row r="73" spans="14:15" ht="12.75">
      <c r="N73" s="4">
        <f t="shared" si="2"/>
        <v>1.41</v>
      </c>
      <c r="O73">
        <f t="shared" si="3"/>
        <v>0.4415655955000015</v>
      </c>
    </row>
    <row r="74" ht="12.75">
      <c r="N74" s="4"/>
    </row>
    <row r="75" ht="12.75">
      <c r="N75" s="4"/>
    </row>
    <row r="78" spans="1:4" ht="12.75">
      <c r="A78" t="s">
        <v>12</v>
      </c>
      <c r="C78" s="3"/>
      <c r="D78" s="3"/>
    </row>
    <row r="80" spans="1:7" ht="12.75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</row>
    <row r="81" spans="1:7" ht="12.75">
      <c r="A81">
        <v>105</v>
      </c>
      <c r="B81">
        <f aca="true" t="shared" si="4" ref="B81:B86">(A81-offset1)/gain1</f>
        <v>1.0161485269528288</v>
      </c>
      <c r="D81">
        <v>737</v>
      </c>
      <c r="E81">
        <v>74</v>
      </c>
      <c r="F81">
        <v>536</v>
      </c>
      <c r="G81">
        <f>corr*(E81+F81)/(D81-10)</f>
        <v>0.8390646492434664</v>
      </c>
    </row>
    <row r="82" spans="1:15" ht="12.75">
      <c r="A82">
        <v>120</v>
      </c>
      <c r="B82">
        <f t="shared" si="4"/>
        <v>1.1462742789022309</v>
      </c>
      <c r="D82">
        <v>1146</v>
      </c>
      <c r="E82">
        <v>110</v>
      </c>
      <c r="F82">
        <v>802</v>
      </c>
      <c r="G82">
        <f>corr*(E82+F82)/(D82-14)</f>
        <v>0.8056537102473498</v>
      </c>
      <c r="N82">
        <v>1.63</v>
      </c>
      <c r="O82">
        <f>0.4952*N82^3-2.2877*N82^2+2.8428*N82-0.2011</f>
        <v>0.4990597843999998</v>
      </c>
    </row>
    <row r="83" spans="1:15" ht="12.75">
      <c r="A83">
        <v>150</v>
      </c>
      <c r="B83">
        <f t="shared" si="4"/>
        <v>1.406525782801035</v>
      </c>
      <c r="D83">
        <v>1105</v>
      </c>
      <c r="E83">
        <v>78</v>
      </c>
      <c r="F83">
        <v>637</v>
      </c>
      <c r="G83">
        <f>corr*(E83+F83)/(D83-14)</f>
        <v>0.6553620531622365</v>
      </c>
      <c r="N83" s="4">
        <f aca="true" t="shared" si="5" ref="N83:N88">N82+0.01</f>
        <v>1.64</v>
      </c>
      <c r="O83">
        <f aca="true" t="shared" si="6" ref="O83:O88">0.4952*N83^3-2.2877*N83^2+2.8428*N83-0.2011</f>
        <v>0.4923935488000007</v>
      </c>
    </row>
    <row r="84" spans="1:15" ht="12.75">
      <c r="A84">
        <v>180</v>
      </c>
      <c r="B84">
        <f t="shared" si="4"/>
        <v>1.6667772866998392</v>
      </c>
      <c r="D84">
        <v>1137</v>
      </c>
      <c r="E84">
        <v>47</v>
      </c>
      <c r="F84">
        <v>463</v>
      </c>
      <c r="G84">
        <f>corr*(E84+F84)/(D84-14)</f>
        <v>0.4541406945681211</v>
      </c>
      <c r="N84" s="4">
        <f t="shared" si="5"/>
        <v>1.65</v>
      </c>
      <c r="O84">
        <f t="shared" si="6"/>
        <v>0.4857570500000004</v>
      </c>
    </row>
    <row r="85" spans="1:15" ht="12.75">
      <c r="A85">
        <v>210</v>
      </c>
      <c r="B85">
        <f t="shared" si="4"/>
        <v>1.9270287905986432</v>
      </c>
      <c r="D85">
        <v>1121</v>
      </c>
      <c r="E85">
        <v>43</v>
      </c>
      <c r="F85">
        <v>336</v>
      </c>
      <c r="G85">
        <f>corr*(E85+F85)/(D85-14)</f>
        <v>0.34236675700090335</v>
      </c>
      <c r="N85" s="4">
        <f t="shared" si="5"/>
        <v>1.66</v>
      </c>
      <c r="O85">
        <f t="shared" si="6"/>
        <v>0.4791532591999997</v>
      </c>
    </row>
    <row r="86" spans="1:15" ht="12.75">
      <c r="A86">
        <v>240</v>
      </c>
      <c r="B86">
        <f t="shared" si="4"/>
        <v>2.187280294497447</v>
      </c>
      <c r="D86">
        <v>1077</v>
      </c>
      <c r="E86">
        <v>27</v>
      </c>
      <c r="F86">
        <v>238</v>
      </c>
      <c r="G86">
        <f>corr*(E86+F86)/(D86-14)</f>
        <v>0.24929444967074318</v>
      </c>
      <c r="N86" s="4">
        <f t="shared" si="5"/>
        <v>1.67</v>
      </c>
      <c r="O86">
        <f t="shared" si="6"/>
        <v>0.47258514759999964</v>
      </c>
    </row>
    <row r="87" spans="14:15" ht="12.75">
      <c r="N87" s="5">
        <v>1.55</v>
      </c>
      <c r="O87">
        <f t="shared" si="6"/>
        <v>0.5531036499999991</v>
      </c>
    </row>
    <row r="88" spans="14:15" ht="12.75">
      <c r="N88" s="4">
        <f t="shared" si="5"/>
        <v>1.56</v>
      </c>
      <c r="O88">
        <f t="shared" si="6"/>
        <v>0.5463064831999993</v>
      </c>
    </row>
    <row r="93" spans="1:4" ht="12.75">
      <c r="A93" t="s">
        <v>27</v>
      </c>
      <c r="C93" s="3"/>
      <c r="D93" s="3"/>
    </row>
    <row r="95" spans="1:7" ht="12.75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</row>
    <row r="96" spans="1:7" ht="12.75">
      <c r="A96" s="11">
        <v>105</v>
      </c>
      <c r="B96">
        <f aca="true" t="shared" si="7" ref="B96:B102">(A96-offset1)/gain1</f>
        <v>1.0161485269528288</v>
      </c>
      <c r="D96">
        <v>685</v>
      </c>
      <c r="E96">
        <v>68</v>
      </c>
      <c r="F96">
        <v>522</v>
      </c>
      <c r="G96">
        <f>corr*(E96+F96)/(D96-14)</f>
        <v>0.879284649776453</v>
      </c>
    </row>
    <row r="97" spans="1:15" ht="12.75">
      <c r="A97" s="10">
        <v>120</v>
      </c>
      <c r="B97" s="11">
        <f t="shared" si="7"/>
        <v>1.1462742789022309</v>
      </c>
      <c r="C97" s="11"/>
      <c r="D97" s="11">
        <v>1102</v>
      </c>
      <c r="E97" s="11">
        <v>99</v>
      </c>
      <c r="F97" s="11">
        <v>803</v>
      </c>
      <c r="G97">
        <f>corr*(E97+F97)/(D97-14)</f>
        <v>0.8290441176470589</v>
      </c>
      <c r="N97">
        <v>1.85</v>
      </c>
      <c r="O97">
        <f>0.6324*N97^3-3.1125*N97^2+4.4614*N97-1.103</f>
        <v>0.5021783999999998</v>
      </c>
    </row>
    <row r="98" spans="1:15" ht="12.75">
      <c r="A98" s="11">
        <v>150</v>
      </c>
      <c r="B98" s="11">
        <f t="shared" si="7"/>
        <v>1.406525782801035</v>
      </c>
      <c r="C98" s="11"/>
      <c r="D98" s="11">
        <v>1090</v>
      </c>
      <c r="E98" s="11">
        <v>87</v>
      </c>
      <c r="F98" s="11">
        <v>753</v>
      </c>
      <c r="G98">
        <f>corr*(E98+F98)/(D98-14)</f>
        <v>0.7806691449814126</v>
      </c>
      <c r="N98" s="4">
        <f>N97+0.01</f>
        <v>1.86</v>
      </c>
      <c r="O98">
        <f aca="true" t="shared" si="8" ref="O98:O103">0.6324*N98^3-3.1125*N98^2+4.4614*N98-1.103</f>
        <v>0.4966019343999999</v>
      </c>
    </row>
    <row r="99" spans="1:15" ht="12.75">
      <c r="A99">
        <v>180</v>
      </c>
      <c r="B99">
        <f t="shared" si="7"/>
        <v>1.6667772866998392</v>
      </c>
      <c r="D99">
        <v>752</v>
      </c>
      <c r="E99">
        <v>50</v>
      </c>
      <c r="F99">
        <v>387</v>
      </c>
      <c r="G99">
        <f>corr*(E99+F99)/(D99-14*2)</f>
        <v>0.6035911602209945</v>
      </c>
      <c r="N99" s="4">
        <f>N98+0.01</f>
        <v>1.87</v>
      </c>
      <c r="O99">
        <f t="shared" si="8"/>
        <v>0.491108727200001</v>
      </c>
    </row>
    <row r="100" spans="1:15" ht="12.75">
      <c r="A100">
        <v>210</v>
      </c>
      <c r="B100">
        <f t="shared" si="7"/>
        <v>1.9270287905986432</v>
      </c>
      <c r="D100">
        <v>763</v>
      </c>
      <c r="E100">
        <v>36</v>
      </c>
      <c r="F100">
        <v>316</v>
      </c>
      <c r="G100">
        <f>corr*(E100+F100)/(D100-14)</f>
        <v>0.4699599465954606</v>
      </c>
      <c r="N100" s="4">
        <f>N99+0.01</f>
        <v>1.8800000000000001</v>
      </c>
      <c r="O100">
        <f t="shared" si="8"/>
        <v>0.48570257279999995</v>
      </c>
    </row>
    <row r="101" spans="1:15" ht="12.75">
      <c r="A101">
        <v>240</v>
      </c>
      <c r="B101">
        <f t="shared" si="7"/>
        <v>2.187280294497447</v>
      </c>
      <c r="D101">
        <v>810</v>
      </c>
      <c r="E101">
        <v>30</v>
      </c>
      <c r="F101">
        <v>273</v>
      </c>
      <c r="G101">
        <f>corr*(E101+F101)/(D101-14)</f>
        <v>0.3806532663316583</v>
      </c>
      <c r="N101" s="4">
        <f>N100+0.01</f>
        <v>1.8900000000000001</v>
      </c>
      <c r="O101">
        <f t="shared" si="8"/>
        <v>0.48038726560000167</v>
      </c>
    </row>
    <row r="102" spans="1:15" ht="12.75">
      <c r="A102">
        <v>270</v>
      </c>
      <c r="B102">
        <f t="shared" si="7"/>
        <v>2.4475317983962515</v>
      </c>
      <c r="D102">
        <v>1087</v>
      </c>
      <c r="E102">
        <v>32</v>
      </c>
      <c r="F102">
        <v>260</v>
      </c>
      <c r="G102">
        <f>1.019459*(E102+F102)/(D102-14*2)</f>
        <v>0.28109728800755424</v>
      </c>
      <c r="N102" s="4">
        <f>N101+0.01</f>
        <v>1.9000000000000001</v>
      </c>
      <c r="O102">
        <f t="shared" si="8"/>
        <v>0.4751666000000012</v>
      </c>
    </row>
    <row r="103" spans="14:15" ht="12.75">
      <c r="N103" s="5">
        <v>1.81</v>
      </c>
      <c r="O103">
        <f t="shared" si="8"/>
        <v>0.5252409584000011</v>
      </c>
    </row>
    <row r="108" spans="1:4" ht="12.75">
      <c r="A108" t="s">
        <v>28</v>
      </c>
      <c r="C108" s="3"/>
      <c r="D108" s="3"/>
    </row>
    <row r="110" spans="1:7" ht="12.75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</row>
    <row r="111" spans="1:15" ht="12.75">
      <c r="A111">
        <v>105</v>
      </c>
      <c r="B111">
        <f aca="true" t="shared" si="9" ref="B111:B117">(A111-offset1)/gain1</f>
        <v>1.0161485269528288</v>
      </c>
      <c r="D111">
        <v>761</v>
      </c>
      <c r="E111">
        <v>69</v>
      </c>
      <c r="F111">
        <v>570</v>
      </c>
      <c r="G111">
        <f>corr*(E111+F111)/(D111-14)</f>
        <v>0.8554216867469879</v>
      </c>
      <c r="N111">
        <v>2.17</v>
      </c>
      <c r="O111">
        <f>-0.1028*N111^3+0.8861*N111^2-2.8013*N111+3.4569</f>
        <v>0.5001927136000006</v>
      </c>
    </row>
    <row r="112" spans="1:15" ht="12.75">
      <c r="A112">
        <v>180</v>
      </c>
      <c r="B112">
        <f t="shared" si="9"/>
        <v>1.6667772866998392</v>
      </c>
      <c r="D112">
        <v>1149</v>
      </c>
      <c r="E112">
        <v>129</v>
      </c>
      <c r="F112">
        <v>749</v>
      </c>
      <c r="G112">
        <f>corr*(E112+F112)/(D112-14)</f>
        <v>0.7735682819383259</v>
      </c>
      <c r="N112" s="4">
        <f aca="true" t="shared" si="10" ref="N112:N119">N111+0.01</f>
        <v>2.1799999999999997</v>
      </c>
      <c r="O112">
        <f aca="true" t="shared" si="11" ref="O112:O119">-0.1028*N112^3+0.8861*N112^2-2.8013*N112+3.4569</f>
        <v>0.49613579040000033</v>
      </c>
    </row>
    <row r="113" spans="1:15" ht="12.75">
      <c r="A113" s="11">
        <v>210</v>
      </c>
      <c r="B113">
        <f t="shared" si="9"/>
        <v>1.9270287905986432</v>
      </c>
      <c r="D113">
        <v>1088</v>
      </c>
      <c r="E113">
        <v>49</v>
      </c>
      <c r="F113">
        <v>612</v>
      </c>
      <c r="G113">
        <f>corr*(E113+F113)/(D113-14)</f>
        <v>0.6154562383612663</v>
      </c>
      <c r="N113" s="4">
        <f t="shared" si="10"/>
        <v>2.1899999999999995</v>
      </c>
      <c r="O113">
        <f t="shared" si="11"/>
        <v>0.4921216248000002</v>
      </c>
    </row>
    <row r="114" spans="1:15" ht="12.75">
      <c r="A114">
        <v>240</v>
      </c>
      <c r="B114">
        <f t="shared" si="9"/>
        <v>2.187280294497447</v>
      </c>
      <c r="D114">
        <v>1197</v>
      </c>
      <c r="E114">
        <v>65</v>
      </c>
      <c r="F114">
        <v>514</v>
      </c>
      <c r="G114">
        <f>corr*(E114+F114)/(D114-14)</f>
        <v>0.4894336432797971</v>
      </c>
      <c r="N114" s="4">
        <f t="shared" si="10"/>
        <v>2.1999999999999993</v>
      </c>
      <c r="O114">
        <f t="shared" si="11"/>
        <v>0.48814960000000074</v>
      </c>
    </row>
    <row r="115" spans="1:15" ht="12.75">
      <c r="A115">
        <v>270</v>
      </c>
      <c r="B115" s="11">
        <f t="shared" si="9"/>
        <v>2.4475317983962515</v>
      </c>
      <c r="C115" s="11"/>
      <c r="D115" s="11">
        <v>1112</v>
      </c>
      <c r="E115" s="11">
        <v>53</v>
      </c>
      <c r="F115" s="11">
        <v>395</v>
      </c>
      <c r="G115">
        <f>corr*(E115+F115)/(D115-14)</f>
        <v>0.4080145719489982</v>
      </c>
      <c r="N115" s="4">
        <f t="shared" si="10"/>
        <v>2.209999999999999</v>
      </c>
      <c r="O115">
        <f t="shared" si="11"/>
        <v>0.4842190992000006</v>
      </c>
    </row>
    <row r="116" spans="1:15" ht="12.75">
      <c r="A116">
        <v>300</v>
      </c>
      <c r="B116">
        <f t="shared" si="9"/>
        <v>2.7077833022950553</v>
      </c>
      <c r="D116" s="11">
        <v>1117</v>
      </c>
      <c r="E116" s="11">
        <v>36</v>
      </c>
      <c r="F116" s="11">
        <v>318</v>
      </c>
      <c r="G116">
        <f>corr*(E116+F116)/(D116-14*2)</f>
        <v>0.325068870523416</v>
      </c>
      <c r="N116" s="4">
        <f t="shared" si="10"/>
        <v>2.219999999999999</v>
      </c>
      <c r="O116">
        <f t="shared" si="11"/>
        <v>0.4803295056000003</v>
      </c>
    </row>
    <row r="117" spans="1:15" ht="12.75">
      <c r="A117">
        <v>330</v>
      </c>
      <c r="B117">
        <f t="shared" si="9"/>
        <v>2.9680348061938595</v>
      </c>
      <c r="D117" s="11">
        <v>1105</v>
      </c>
      <c r="E117" s="11">
        <v>27</v>
      </c>
      <c r="F117" s="11">
        <v>256</v>
      </c>
      <c r="G117">
        <f>corr*(E117+F117)/(D117-14*2)</f>
        <v>0.2627669452181987</v>
      </c>
      <c r="N117" s="4">
        <f t="shared" si="10"/>
        <v>2.2299999999999986</v>
      </c>
      <c r="O117">
        <f t="shared" si="11"/>
        <v>0.4764802023999999</v>
      </c>
    </row>
    <row r="118" spans="14:15" ht="12.75">
      <c r="N118" s="4">
        <f t="shared" si="10"/>
        <v>2.2399999999999984</v>
      </c>
      <c r="O118">
        <f t="shared" si="11"/>
        <v>0.47267057280000113</v>
      </c>
    </row>
    <row r="119" spans="14:15" ht="12.75">
      <c r="N119" s="4">
        <f t="shared" si="10"/>
        <v>2.2499999999999982</v>
      </c>
      <c r="O119">
        <f t="shared" si="11"/>
        <v>0.4689000000000014</v>
      </c>
    </row>
    <row r="123" spans="1:4" ht="12.75">
      <c r="A123" t="s">
        <v>42</v>
      </c>
      <c r="C123" s="3"/>
      <c r="D123" s="3"/>
    </row>
    <row r="125" spans="1:15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N125">
        <v>2.7</v>
      </c>
      <c r="O125">
        <f aca="true" t="shared" si="12" ref="O125:O130">0.1658*N125^2-1.2208*N125+2.5875</f>
        <v>0.500022</v>
      </c>
    </row>
    <row r="126" spans="1:15" ht="12.75">
      <c r="A126">
        <v>105</v>
      </c>
      <c r="B126">
        <f aca="true" t="shared" si="13" ref="B126:B132">(A126-offset1)/gain1</f>
        <v>1.0161485269528288</v>
      </c>
      <c r="G126">
        <f>corr*(E126+F126)/(D126-14)</f>
        <v>0</v>
      </c>
      <c r="N126" s="4">
        <f>N125+0.01</f>
        <v>2.71</v>
      </c>
      <c r="O126">
        <f t="shared" si="12"/>
        <v>0.4967837799999999</v>
      </c>
    </row>
    <row r="127" spans="1:15" ht="12.75">
      <c r="A127" s="11">
        <v>210</v>
      </c>
      <c r="B127">
        <f t="shared" si="13"/>
        <v>1.9270287905986432</v>
      </c>
      <c r="G127">
        <f aca="true" t="shared" si="14" ref="G127:G132">corr*(E127+F127)/(D127-14)</f>
        <v>0</v>
      </c>
      <c r="N127" s="4">
        <f>N126+0.01</f>
        <v>2.7199999999999998</v>
      </c>
      <c r="O127">
        <f t="shared" si="12"/>
        <v>0.4935787199999999</v>
      </c>
    </row>
    <row r="128" spans="1:15" ht="12.75">
      <c r="A128">
        <v>240</v>
      </c>
      <c r="B128">
        <f t="shared" si="13"/>
        <v>2.187280294497447</v>
      </c>
      <c r="G128">
        <f t="shared" si="14"/>
        <v>0</v>
      </c>
      <c r="N128" s="4">
        <f>N127+0.01</f>
        <v>2.7299999999999995</v>
      </c>
      <c r="O128">
        <f t="shared" si="12"/>
        <v>0.49040682</v>
      </c>
    </row>
    <row r="129" spans="1:15" ht="12.75">
      <c r="A129">
        <v>270</v>
      </c>
      <c r="B129">
        <f t="shared" si="13"/>
        <v>2.4475317983962515</v>
      </c>
      <c r="D129">
        <v>1125</v>
      </c>
      <c r="E129">
        <v>72</v>
      </c>
      <c r="F129">
        <v>587</v>
      </c>
      <c r="G129">
        <f t="shared" si="14"/>
        <v>0.5931593159315932</v>
      </c>
      <c r="N129" s="4">
        <f>N128+0.01</f>
        <v>2.7399999999999993</v>
      </c>
      <c r="O129">
        <f t="shared" si="12"/>
        <v>0.48726807999999977</v>
      </c>
    </row>
    <row r="130" spans="1:15" ht="12.75">
      <c r="A130">
        <v>300</v>
      </c>
      <c r="B130">
        <f t="shared" si="13"/>
        <v>2.7077833022950553</v>
      </c>
      <c r="D130">
        <v>1128</v>
      </c>
      <c r="E130">
        <v>52</v>
      </c>
      <c r="F130">
        <v>500</v>
      </c>
      <c r="G130">
        <f t="shared" si="14"/>
        <v>0.4955116696588869</v>
      </c>
      <c r="N130" s="4">
        <f>N129+0.01</f>
        <v>2.749999999999999</v>
      </c>
      <c r="O130">
        <f t="shared" si="12"/>
        <v>0.4841624999999996</v>
      </c>
    </row>
    <row r="131" spans="1:7" ht="12.75">
      <c r="A131">
        <v>330</v>
      </c>
      <c r="B131">
        <f t="shared" si="13"/>
        <v>2.9680348061938595</v>
      </c>
      <c r="D131">
        <v>1105</v>
      </c>
      <c r="E131">
        <v>55</v>
      </c>
      <c r="F131">
        <v>410</v>
      </c>
      <c r="G131">
        <f t="shared" si="14"/>
        <v>0.42621448212648944</v>
      </c>
    </row>
    <row r="132" spans="1:7" ht="12.75">
      <c r="A132">
        <v>360</v>
      </c>
      <c r="B132">
        <f t="shared" si="13"/>
        <v>3.2282863100926638</v>
      </c>
      <c r="D132">
        <v>1085</v>
      </c>
      <c r="E132">
        <v>41</v>
      </c>
      <c r="F132">
        <v>359</v>
      </c>
      <c r="G132">
        <f t="shared" si="14"/>
        <v>0.3734827264239029</v>
      </c>
    </row>
    <row r="135" spans="1:4" ht="12.75">
      <c r="A135" t="s">
        <v>43</v>
      </c>
      <c r="C135" s="3"/>
      <c r="D135" s="3"/>
    </row>
    <row r="137" spans="1:7" ht="12.75">
      <c r="A137" t="s">
        <v>0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6</v>
      </c>
    </row>
    <row r="138" spans="1:7" ht="12.75">
      <c r="A138">
        <v>240</v>
      </c>
      <c r="B138">
        <f aca="true" t="shared" si="15" ref="B138:B144">(A138-offset1)/gain1</f>
        <v>2.187280294497447</v>
      </c>
      <c r="D138">
        <v>1287</v>
      </c>
      <c r="E138">
        <v>305</v>
      </c>
      <c r="F138">
        <v>616</v>
      </c>
      <c r="G138">
        <f>corr*(E138+F138)/(D138-14)</f>
        <v>0.7234878240377062</v>
      </c>
    </row>
    <row r="139" spans="1:15" ht="12.75">
      <c r="A139">
        <v>270</v>
      </c>
      <c r="B139">
        <f t="shared" si="15"/>
        <v>2.4475317983962515</v>
      </c>
      <c r="D139">
        <v>1247</v>
      </c>
      <c r="E139">
        <v>212</v>
      </c>
      <c r="F139">
        <v>542</v>
      </c>
      <c r="G139">
        <f>corr*(E139+F139)/(D139-14)</f>
        <v>0.6115166261151662</v>
      </c>
      <c r="N139">
        <v>2.83</v>
      </c>
      <c r="O139">
        <f aca="true" t="shared" si="16" ref="O139:O144">-0.0355*N139^3+0.4193*N139^2-1.7737*N139+2.9671</f>
        <v>0.5010466315</v>
      </c>
    </row>
    <row r="140" spans="1:15" ht="12.75">
      <c r="A140">
        <v>300</v>
      </c>
      <c r="B140">
        <f t="shared" si="15"/>
        <v>2.7077833022950553</v>
      </c>
      <c r="D140">
        <v>1262</v>
      </c>
      <c r="E140">
        <v>177</v>
      </c>
      <c r="F140">
        <v>501</v>
      </c>
      <c r="G140">
        <f>corr*(E140+F140)/(D140-14)</f>
        <v>0.5432692307692307</v>
      </c>
      <c r="N140">
        <f>N139+0.01</f>
        <v>2.84</v>
      </c>
      <c r="O140">
        <f t="shared" si="16"/>
        <v>0.4985242879999996</v>
      </c>
    </row>
    <row r="141" spans="1:15" ht="12.75">
      <c r="A141">
        <v>330</v>
      </c>
      <c r="B141">
        <f t="shared" si="15"/>
        <v>2.9680348061938595</v>
      </c>
      <c r="D141">
        <v>1342</v>
      </c>
      <c r="E141">
        <v>152</v>
      </c>
      <c r="F141">
        <v>465</v>
      </c>
      <c r="G141">
        <f>corr*(E141+F141)/(D141-14)</f>
        <v>0.46460843373493976</v>
      </c>
      <c r="N141">
        <f>N140+0.01</f>
        <v>2.8499999999999996</v>
      </c>
      <c r="O141">
        <f t="shared" si="16"/>
        <v>0.4960253124999996</v>
      </c>
    </row>
    <row r="142" spans="1:15" ht="12.75">
      <c r="A142">
        <v>360</v>
      </c>
      <c r="B142">
        <f t="shared" si="15"/>
        <v>3.2282863100926638</v>
      </c>
      <c r="D142">
        <v>1229</v>
      </c>
      <c r="E142">
        <v>143</v>
      </c>
      <c r="F142">
        <v>359</v>
      </c>
      <c r="G142">
        <f>corr*(E142+F142)/(D142-14)</f>
        <v>0.41316872427983536</v>
      </c>
      <c r="N142">
        <f>N141+0.01</f>
        <v>2.8599999999999994</v>
      </c>
      <c r="O142">
        <f t="shared" si="16"/>
        <v>0.4935494920000001</v>
      </c>
    </row>
    <row r="143" spans="1:15" ht="12.75">
      <c r="A143">
        <v>390</v>
      </c>
      <c r="B143">
        <f t="shared" si="15"/>
        <v>3.4885378139914676</v>
      </c>
      <c r="D143">
        <v>1243</v>
      </c>
      <c r="E143">
        <v>134</v>
      </c>
      <c r="F143">
        <v>328</v>
      </c>
      <c r="G143">
        <f>corr*(E143+F143)/(D143-14*2)</f>
        <v>0.3802469135802469</v>
      </c>
      <c r="N143">
        <f>N142+0.01</f>
        <v>2.869999999999999</v>
      </c>
      <c r="O143">
        <f t="shared" si="16"/>
        <v>0.49109661350000033</v>
      </c>
    </row>
    <row r="144" spans="1:15" ht="12.75">
      <c r="A144">
        <v>420</v>
      </c>
      <c r="B144">
        <f t="shared" si="15"/>
        <v>3.748789317890272</v>
      </c>
      <c r="D144">
        <v>1306</v>
      </c>
      <c r="E144">
        <v>131</v>
      </c>
      <c r="F144">
        <v>303</v>
      </c>
      <c r="G144">
        <f>corr*(E144+F144)/(D144-14*2)</f>
        <v>0.3395931142410016</v>
      </c>
      <c r="N144">
        <f>N143+0.01</f>
        <v>2.879999999999999</v>
      </c>
      <c r="O144">
        <f t="shared" si="16"/>
        <v>0.48866646400000047</v>
      </c>
    </row>
    <row r="147" spans="1:4" ht="12.75">
      <c r="A147" t="s">
        <v>44</v>
      </c>
      <c r="C147" s="3"/>
      <c r="D147" s="3"/>
    </row>
    <row r="149" spans="1:7" ht="12.75">
      <c r="A149" t="s">
        <v>0</v>
      </c>
      <c r="B149" t="s">
        <v>1</v>
      </c>
      <c r="C149" t="s">
        <v>2</v>
      </c>
      <c r="D149" t="s">
        <v>3</v>
      </c>
      <c r="E149" t="s">
        <v>4</v>
      </c>
      <c r="F149" t="s">
        <v>5</v>
      </c>
      <c r="G149" t="s">
        <v>6</v>
      </c>
    </row>
    <row r="150" spans="1:7" ht="12.75">
      <c r="A150">
        <v>270</v>
      </c>
      <c r="B150">
        <f aca="true" t="shared" si="17" ref="B150:B155">(A150-offset1)/gain1</f>
        <v>2.4475317983962515</v>
      </c>
      <c r="G150">
        <f aca="true" t="shared" si="18" ref="G150:G155">1.019459*(E150+F150)/(D150-14)</f>
        <v>0</v>
      </c>
    </row>
    <row r="151" spans="1:7" ht="12.75">
      <c r="A151">
        <v>300</v>
      </c>
      <c r="B151">
        <f t="shared" si="17"/>
        <v>2.7077833022950553</v>
      </c>
      <c r="D151">
        <v>1204</v>
      </c>
      <c r="E151">
        <v>219</v>
      </c>
      <c r="F151">
        <v>503</v>
      </c>
      <c r="G151">
        <f t="shared" si="18"/>
        <v>0.6185289058823529</v>
      </c>
    </row>
    <row r="152" spans="1:15" ht="12.75">
      <c r="A152">
        <v>330</v>
      </c>
      <c r="B152">
        <f t="shared" si="17"/>
        <v>2.9680348061938595</v>
      </c>
      <c r="D152">
        <v>1313</v>
      </c>
      <c r="E152">
        <v>202</v>
      </c>
      <c r="F152">
        <v>488</v>
      </c>
      <c r="G152">
        <f t="shared" si="18"/>
        <v>0.5415140184757505</v>
      </c>
      <c r="N152">
        <v>3.4</v>
      </c>
      <c r="O152">
        <f>-0.3478*N152^3+3.4312*N152^2-11.36*N152+13.128</f>
        <v>0.4987408000000002</v>
      </c>
    </row>
    <row r="153" spans="1:15" ht="12.75">
      <c r="A153">
        <v>360</v>
      </c>
      <c r="B153">
        <f t="shared" si="17"/>
        <v>3.2282863100926638</v>
      </c>
      <c r="D153">
        <v>1268</v>
      </c>
      <c r="E153">
        <v>180</v>
      </c>
      <c r="F153">
        <v>447</v>
      </c>
      <c r="G153">
        <f t="shared" si="18"/>
        <v>0.5097295</v>
      </c>
      <c r="N153">
        <f aca="true" t="shared" si="19" ref="N153:N158">N152+0.01</f>
        <v>3.4099999999999997</v>
      </c>
      <c r="O153">
        <f aca="true" t="shared" si="20" ref="O153:O158">-0.3478*N153^3+3.4312*N153^2-11.36*N153+13.128</f>
        <v>0.49783337620000623</v>
      </c>
    </row>
    <row r="154" spans="1:15" ht="12.75">
      <c r="A154">
        <v>390</v>
      </c>
      <c r="B154">
        <f t="shared" si="17"/>
        <v>3.4885378139914676</v>
      </c>
      <c r="D154">
        <v>1215</v>
      </c>
      <c r="E154">
        <v>144</v>
      </c>
      <c r="F154">
        <v>429</v>
      </c>
      <c r="G154">
        <f t="shared" si="18"/>
        <v>0.4863863505412156</v>
      </c>
      <c r="N154">
        <f t="shared" si="19"/>
        <v>3.4199999999999995</v>
      </c>
      <c r="O154">
        <f t="shared" si="20"/>
        <v>0.49690059360000305</v>
      </c>
    </row>
    <row r="155" spans="1:15" ht="12.75">
      <c r="A155">
        <v>420</v>
      </c>
      <c r="B155">
        <f t="shared" si="17"/>
        <v>3.748789317890272</v>
      </c>
      <c r="D155">
        <v>1149</v>
      </c>
      <c r="E155">
        <v>119</v>
      </c>
      <c r="F155">
        <v>364</v>
      </c>
      <c r="G155">
        <f t="shared" si="18"/>
        <v>0.43383145110132154</v>
      </c>
      <c r="N155">
        <f t="shared" si="19"/>
        <v>3.4299999999999993</v>
      </c>
      <c r="O155">
        <f t="shared" si="20"/>
        <v>0.49594036540000275</v>
      </c>
    </row>
    <row r="156" spans="14:15" ht="12.75">
      <c r="N156">
        <f t="shared" si="19"/>
        <v>3.439999999999999</v>
      </c>
      <c r="O156">
        <f t="shared" si="20"/>
        <v>0.49495060479999964</v>
      </c>
    </row>
    <row r="157" spans="14:15" ht="12.75">
      <c r="N157">
        <f t="shared" si="19"/>
        <v>3.449999999999999</v>
      </c>
      <c r="O157">
        <f t="shared" si="20"/>
        <v>0.4939292250000058</v>
      </c>
    </row>
    <row r="158" spans="14:15" ht="12.75">
      <c r="N158">
        <f t="shared" si="19"/>
        <v>3.4599999999999986</v>
      </c>
      <c r="O158">
        <f t="shared" si="20"/>
        <v>0.49287413920000134</v>
      </c>
    </row>
    <row r="159" spans="1:4" ht="12.75">
      <c r="A159" t="s">
        <v>45</v>
      </c>
      <c r="C159" s="3"/>
      <c r="D159" s="3"/>
    </row>
    <row r="161" spans="1:7" ht="12.75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5</v>
      </c>
      <c r="G161" t="s">
        <v>6</v>
      </c>
    </row>
    <row r="162" spans="1:7" ht="12.75">
      <c r="A162">
        <v>270</v>
      </c>
      <c r="B162">
        <f aca="true" t="shared" si="21" ref="B162:B167">(A162-offset1)/gain1</f>
        <v>2.4475317983962515</v>
      </c>
      <c r="G162">
        <f>1.019459*(E162+F162)/(D162-14)</f>
        <v>0</v>
      </c>
    </row>
    <row r="163" spans="1:2" ht="12.75">
      <c r="A163">
        <v>300</v>
      </c>
      <c r="B163">
        <f t="shared" si="21"/>
        <v>2.7077833022950553</v>
      </c>
    </row>
    <row r="164" spans="1:7" ht="12.75">
      <c r="A164">
        <v>330</v>
      </c>
      <c r="B164">
        <f t="shared" si="21"/>
        <v>2.9680348061938595</v>
      </c>
      <c r="G164">
        <f>1.019459*(E164+F164)/(D164-14)</f>
        <v>0</v>
      </c>
    </row>
    <row r="165" spans="1:7" ht="12.75">
      <c r="A165">
        <v>360</v>
      </c>
      <c r="B165">
        <f t="shared" si="21"/>
        <v>3.2282863100926638</v>
      </c>
      <c r="G165">
        <f>1.019459*(E165+F165)/(D165-14)</f>
        <v>0</v>
      </c>
    </row>
    <row r="166" spans="1:7" ht="12.75">
      <c r="A166">
        <v>390</v>
      </c>
      <c r="B166">
        <f t="shared" si="21"/>
        <v>3.4885378139914676</v>
      </c>
      <c r="G166">
        <f>1.019459*(E166+F166)/(D166-14)</f>
        <v>0</v>
      </c>
    </row>
    <row r="167" spans="1:7" ht="12.75">
      <c r="A167">
        <v>420</v>
      </c>
      <c r="B167">
        <f t="shared" si="21"/>
        <v>3.748789317890272</v>
      </c>
      <c r="G167">
        <f>1.019459*(E167+F167)/(D167-14)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5">
      <selection activeCell="L23" sqref="L23"/>
    </sheetView>
  </sheetViews>
  <sheetFormatPr defaultColWidth="9.140625" defaultRowHeight="12.75"/>
  <cols>
    <col min="5" max="5" width="9.140625" style="0" bestFit="1" customWidth="1"/>
  </cols>
  <sheetData>
    <row r="1" spans="1:12" ht="12.75">
      <c r="A1" t="s">
        <v>33</v>
      </c>
      <c r="E1" t="s">
        <v>49</v>
      </c>
      <c r="L1" t="s">
        <v>38</v>
      </c>
    </row>
    <row r="2" spans="1:5" ht="12.75">
      <c r="A2" t="s">
        <v>34</v>
      </c>
      <c r="E2" s="9"/>
    </row>
    <row r="3" spans="12:13" ht="12.75">
      <c r="L3" t="s">
        <v>19</v>
      </c>
      <c r="M3" t="s">
        <v>39</v>
      </c>
    </row>
    <row r="4" spans="1:17" ht="12.75">
      <c r="A4">
        <v>1</v>
      </c>
      <c r="B4">
        <v>121.77</v>
      </c>
      <c r="C4">
        <v>-16.617</v>
      </c>
      <c r="E4">
        <v>1</v>
      </c>
      <c r="F4">
        <v>116.95</v>
      </c>
      <c r="G4">
        <v>-1.851</v>
      </c>
      <c r="L4">
        <v>10</v>
      </c>
      <c r="M4">
        <v>1.97</v>
      </c>
      <c r="P4" s="4"/>
      <c r="Q4" s="4"/>
    </row>
    <row r="5" spans="1:17" ht="12.75">
      <c r="A5">
        <v>2</v>
      </c>
      <c r="B5">
        <v>114.462</v>
      </c>
      <c r="C5">
        <v>-19.435</v>
      </c>
      <c r="E5">
        <v>4</v>
      </c>
      <c r="F5">
        <v>112.358</v>
      </c>
      <c r="G5">
        <v>-9.239</v>
      </c>
      <c r="L5">
        <v>30</v>
      </c>
      <c r="M5">
        <v>2.9</v>
      </c>
      <c r="P5" s="4"/>
      <c r="Q5" s="4"/>
    </row>
    <row r="6" spans="1:17" ht="12.75">
      <c r="A6">
        <v>3</v>
      </c>
      <c r="B6">
        <v>115.736</v>
      </c>
      <c r="C6">
        <v>0.466</v>
      </c>
      <c r="E6">
        <v>5</v>
      </c>
      <c r="F6">
        <v>117.987</v>
      </c>
      <c r="G6">
        <v>-16.956</v>
      </c>
      <c r="I6" t="s">
        <v>21</v>
      </c>
      <c r="J6" t="s">
        <v>22</v>
      </c>
      <c r="K6" t="s">
        <v>50</v>
      </c>
      <c r="L6">
        <v>50</v>
      </c>
      <c r="M6">
        <v>5.2</v>
      </c>
      <c r="P6" s="4"/>
      <c r="Q6" s="4"/>
    </row>
    <row r="7" spans="1:17" ht="12.75">
      <c r="A7">
        <v>4</v>
      </c>
      <c r="B7">
        <v>117.77</v>
      </c>
      <c r="C7">
        <v>-1.112</v>
      </c>
      <c r="E7">
        <v>6</v>
      </c>
      <c r="F7">
        <v>114.206</v>
      </c>
      <c r="G7">
        <v>-8.744</v>
      </c>
      <c r="I7">
        <v>100</v>
      </c>
      <c r="J7">
        <f>(I7+12.1346)/115.27</f>
        <v>0.9727995141840896</v>
      </c>
      <c r="K7">
        <f>(I7+12.9957)/116.57</f>
        <v>0.9693377369820709</v>
      </c>
      <c r="L7">
        <v>70</v>
      </c>
      <c r="M7">
        <v>6.5</v>
      </c>
      <c r="P7" s="4"/>
      <c r="Q7" s="4"/>
    </row>
    <row r="8" spans="1:17" ht="12.75">
      <c r="A8">
        <v>6</v>
      </c>
      <c r="B8">
        <v>118.538</v>
      </c>
      <c r="C8">
        <v>-10.183</v>
      </c>
      <c r="E8">
        <v>7</v>
      </c>
      <c r="F8">
        <v>121.093</v>
      </c>
      <c r="G8">
        <v>-12.726</v>
      </c>
      <c r="I8">
        <f aca="true" t="shared" si="0" ref="I8:I27">I7+20</f>
        <v>120</v>
      </c>
      <c r="J8">
        <f aca="true" t="shared" si="1" ref="J8:J27">(I8+12.1346)/115.27</f>
        <v>1.1463051964951854</v>
      </c>
      <c r="K8">
        <f aca="true" t="shared" si="2" ref="K8:K27">(I8+12.9957)/116.57</f>
        <v>1.1409084670155272</v>
      </c>
      <c r="L8">
        <v>100</v>
      </c>
      <c r="M8">
        <v>8.4</v>
      </c>
      <c r="P8" s="4"/>
      <c r="Q8" s="4"/>
    </row>
    <row r="9" spans="1:17" ht="12.75">
      <c r="A9">
        <v>9</v>
      </c>
      <c r="B9">
        <v>119.152</v>
      </c>
      <c r="C9">
        <v>-12.976</v>
      </c>
      <c r="E9">
        <v>8</v>
      </c>
      <c r="F9">
        <v>120.913</v>
      </c>
      <c r="G9">
        <v>-23.968</v>
      </c>
      <c r="I9">
        <f t="shared" si="0"/>
        <v>140</v>
      </c>
      <c r="J9">
        <f t="shared" si="1"/>
        <v>1.319810878806281</v>
      </c>
      <c r="K9">
        <f t="shared" si="2"/>
        <v>1.3124791970489835</v>
      </c>
      <c r="L9">
        <v>150</v>
      </c>
      <c r="M9">
        <v>11.4</v>
      </c>
      <c r="P9" s="4"/>
      <c r="Q9" s="4"/>
    </row>
    <row r="10" spans="1:17" ht="12.75">
      <c r="A10">
        <v>10</v>
      </c>
      <c r="B10">
        <v>115.013</v>
      </c>
      <c r="C10">
        <v>-13.224</v>
      </c>
      <c r="E10">
        <v>9</v>
      </c>
      <c r="F10">
        <v>115.914</v>
      </c>
      <c r="G10">
        <v>-18.237</v>
      </c>
      <c r="I10">
        <f t="shared" si="0"/>
        <v>160</v>
      </c>
      <c r="J10">
        <f t="shared" si="1"/>
        <v>1.4933165611173767</v>
      </c>
      <c r="K10">
        <f t="shared" si="2"/>
        <v>1.4840499270824399</v>
      </c>
      <c r="L10">
        <v>200</v>
      </c>
      <c r="M10">
        <v>14.5</v>
      </c>
      <c r="P10" s="4"/>
      <c r="Q10" s="4"/>
    </row>
    <row r="11" spans="1:17" ht="12.75">
      <c r="A11">
        <v>11</v>
      </c>
      <c r="B11">
        <v>115.476</v>
      </c>
      <c r="C11">
        <v>-14.688</v>
      </c>
      <c r="E11">
        <v>10</v>
      </c>
      <c r="F11">
        <v>113.657</v>
      </c>
      <c r="G11">
        <v>-9.393</v>
      </c>
      <c r="I11">
        <f t="shared" si="0"/>
        <v>180</v>
      </c>
      <c r="J11">
        <f t="shared" si="1"/>
        <v>1.6668222434284723</v>
      </c>
      <c r="K11">
        <f t="shared" si="2"/>
        <v>1.655620657115896</v>
      </c>
      <c r="L11">
        <v>250</v>
      </c>
      <c r="M11">
        <v>18.9</v>
      </c>
      <c r="P11" s="4"/>
      <c r="Q11" s="4"/>
    </row>
    <row r="12" spans="1:17" ht="12.75">
      <c r="A12">
        <v>13</v>
      </c>
      <c r="B12">
        <v>42.771</v>
      </c>
      <c r="C12">
        <v>15.517</v>
      </c>
      <c r="E12">
        <v>11</v>
      </c>
      <c r="F12">
        <v>119.033</v>
      </c>
      <c r="G12">
        <v>-18.555</v>
      </c>
      <c r="I12">
        <f t="shared" si="0"/>
        <v>200</v>
      </c>
      <c r="J12">
        <f t="shared" si="1"/>
        <v>1.8403279257395682</v>
      </c>
      <c r="K12">
        <f t="shared" si="2"/>
        <v>1.8271913871493524</v>
      </c>
      <c r="L12">
        <v>300</v>
      </c>
      <c r="M12">
        <v>23</v>
      </c>
      <c r="P12" s="4"/>
      <c r="Q12" s="4"/>
    </row>
    <row r="13" spans="1:17" ht="12.75">
      <c r="A13">
        <v>14</v>
      </c>
      <c r="B13">
        <v>115.522</v>
      </c>
      <c r="C13">
        <v>-15.486</v>
      </c>
      <c r="E13">
        <v>12</v>
      </c>
      <c r="F13">
        <v>113.59</v>
      </c>
      <c r="G13">
        <v>-19.52</v>
      </c>
      <c r="I13">
        <f t="shared" si="0"/>
        <v>220</v>
      </c>
      <c r="J13">
        <f t="shared" si="1"/>
        <v>2.0138336080506636</v>
      </c>
      <c r="K13">
        <f t="shared" si="2"/>
        <v>1.9987621171828087</v>
      </c>
      <c r="L13">
        <v>400</v>
      </c>
      <c r="M13">
        <v>34</v>
      </c>
      <c r="P13" s="4"/>
      <c r="Q13" s="4"/>
    </row>
    <row r="14" spans="1:17" ht="12.75">
      <c r="A14">
        <v>15</v>
      </c>
      <c r="B14">
        <v>117.132</v>
      </c>
      <c r="C14">
        <v>-28.276</v>
      </c>
      <c r="E14">
        <v>13</v>
      </c>
      <c r="F14">
        <v>121.692</v>
      </c>
      <c r="G14">
        <v>-10.835</v>
      </c>
      <c r="I14">
        <f t="shared" si="0"/>
        <v>240</v>
      </c>
      <c r="J14">
        <f t="shared" si="1"/>
        <v>2.1873392903617597</v>
      </c>
      <c r="K14">
        <f t="shared" si="2"/>
        <v>2.170332847216265</v>
      </c>
      <c r="L14">
        <v>500</v>
      </c>
      <c r="M14">
        <v>46</v>
      </c>
      <c r="P14" s="4"/>
      <c r="Q14" s="4"/>
    </row>
    <row r="15" spans="1:17" ht="12.75">
      <c r="A15">
        <v>16</v>
      </c>
      <c r="B15">
        <v>113.16</v>
      </c>
      <c r="C15">
        <v>-13.581</v>
      </c>
      <c r="E15">
        <v>14</v>
      </c>
      <c r="F15">
        <v>114.228</v>
      </c>
      <c r="G15">
        <v>-6.313</v>
      </c>
      <c r="I15">
        <f t="shared" si="0"/>
        <v>260</v>
      </c>
      <c r="J15">
        <f t="shared" si="1"/>
        <v>2.360844972672855</v>
      </c>
      <c r="K15">
        <f t="shared" si="2"/>
        <v>2.341903577249721</v>
      </c>
      <c r="L15">
        <v>600</v>
      </c>
      <c r="M15">
        <v>60</v>
      </c>
      <c r="P15" s="4"/>
      <c r="Q15" s="4"/>
    </row>
    <row r="16" spans="1:17" ht="12.75">
      <c r="A16">
        <v>17</v>
      </c>
      <c r="B16">
        <v>117.971</v>
      </c>
      <c r="C16">
        <v>-27.104</v>
      </c>
      <c r="E16">
        <v>15</v>
      </c>
      <c r="F16">
        <v>117.321</v>
      </c>
      <c r="G16">
        <v>-3.945</v>
      </c>
      <c r="I16">
        <f t="shared" si="0"/>
        <v>280</v>
      </c>
      <c r="J16">
        <f t="shared" si="1"/>
        <v>2.5343506549839505</v>
      </c>
      <c r="K16">
        <f t="shared" si="2"/>
        <v>2.5134743072831776</v>
      </c>
      <c r="L16">
        <v>700</v>
      </c>
      <c r="M16">
        <v>73</v>
      </c>
      <c r="P16" s="4"/>
      <c r="Q16" s="4"/>
    </row>
    <row r="17" spans="1:17" ht="12.75">
      <c r="A17">
        <v>18</v>
      </c>
      <c r="B17">
        <v>119.716</v>
      </c>
      <c r="C17">
        <v>-10.9</v>
      </c>
      <c r="E17">
        <v>1</v>
      </c>
      <c r="F17">
        <v>122.339</v>
      </c>
      <c r="G17">
        <v>-16.045</v>
      </c>
      <c r="I17">
        <f t="shared" si="0"/>
        <v>300</v>
      </c>
      <c r="J17">
        <f t="shared" si="1"/>
        <v>2.707856337295046</v>
      </c>
      <c r="K17">
        <f t="shared" si="2"/>
        <v>2.685045037316634</v>
      </c>
      <c r="P17" s="4"/>
      <c r="Q17" s="4"/>
    </row>
    <row r="18" spans="1:17" ht="12.75">
      <c r="A18">
        <v>19</v>
      </c>
      <c r="B18">
        <v>115.486</v>
      </c>
      <c r="C18">
        <v>-11.998</v>
      </c>
      <c r="E18">
        <v>2</v>
      </c>
      <c r="F18">
        <v>108.414</v>
      </c>
      <c r="G18">
        <v>-12.833</v>
      </c>
      <c r="I18">
        <f t="shared" si="0"/>
        <v>320</v>
      </c>
      <c r="J18">
        <f t="shared" si="1"/>
        <v>2.881362019606142</v>
      </c>
      <c r="K18">
        <f t="shared" si="2"/>
        <v>2.8566157673500903</v>
      </c>
      <c r="P18" s="4"/>
      <c r="Q18" s="4"/>
    </row>
    <row r="19" spans="1:17" ht="12.75">
      <c r="A19">
        <v>20</v>
      </c>
      <c r="B19">
        <v>117.984</v>
      </c>
      <c r="C19">
        <v>-18.679</v>
      </c>
      <c r="E19">
        <v>3</v>
      </c>
      <c r="F19">
        <v>119.019</v>
      </c>
      <c r="G19">
        <v>-12.36</v>
      </c>
      <c r="I19">
        <f t="shared" si="0"/>
        <v>340</v>
      </c>
      <c r="J19">
        <f t="shared" si="1"/>
        <v>3.054867701917238</v>
      </c>
      <c r="K19">
        <f t="shared" si="2"/>
        <v>3.0281864973835466</v>
      </c>
      <c r="P19" s="4"/>
      <c r="Q19" s="4"/>
    </row>
    <row r="20" spans="1:17" ht="12.75">
      <c r="A20">
        <v>21</v>
      </c>
      <c r="B20">
        <v>114.588</v>
      </c>
      <c r="C20">
        <v>-18.485</v>
      </c>
      <c r="E20">
        <v>5</v>
      </c>
      <c r="F20">
        <v>118.192</v>
      </c>
      <c r="G20">
        <v>-25.252</v>
      </c>
      <c r="I20">
        <f t="shared" si="0"/>
        <v>360</v>
      </c>
      <c r="J20">
        <f t="shared" si="1"/>
        <v>3.2283733842283335</v>
      </c>
      <c r="K20">
        <f t="shared" si="2"/>
        <v>3.199757227417003</v>
      </c>
      <c r="P20" s="4"/>
      <c r="Q20" s="4"/>
    </row>
    <row r="21" spans="1:17" ht="12.75">
      <c r="A21">
        <v>22</v>
      </c>
      <c r="B21">
        <v>116.46</v>
      </c>
      <c r="C21">
        <v>-11.844</v>
      </c>
      <c r="E21">
        <v>6</v>
      </c>
      <c r="F21">
        <v>112.153</v>
      </c>
      <c r="G21">
        <v>-8.774</v>
      </c>
      <c r="I21">
        <f t="shared" si="0"/>
        <v>380</v>
      </c>
      <c r="J21">
        <f t="shared" si="1"/>
        <v>3.401879066539429</v>
      </c>
      <c r="K21">
        <f t="shared" si="2"/>
        <v>3.3713279574504593</v>
      </c>
      <c r="P21" s="4"/>
      <c r="Q21" s="4"/>
    </row>
    <row r="22" spans="1:17" ht="12.75">
      <c r="A22">
        <v>23</v>
      </c>
      <c r="B22">
        <v>118.681</v>
      </c>
      <c r="C22">
        <v>-18.098</v>
      </c>
      <c r="E22">
        <v>7</v>
      </c>
      <c r="F22">
        <v>118.854</v>
      </c>
      <c r="G22">
        <v>-17.541</v>
      </c>
      <c r="I22">
        <f t="shared" si="0"/>
        <v>400</v>
      </c>
      <c r="J22">
        <f t="shared" si="1"/>
        <v>3.575384748850525</v>
      </c>
      <c r="K22">
        <f t="shared" si="2"/>
        <v>3.5428986874839152</v>
      </c>
      <c r="P22" s="4"/>
      <c r="Q22" s="4"/>
    </row>
    <row r="23" spans="1:17" ht="12.75">
      <c r="A23">
        <v>24</v>
      </c>
      <c r="B23">
        <v>114.696</v>
      </c>
      <c r="C23">
        <v>-12.595</v>
      </c>
      <c r="E23">
        <v>8</v>
      </c>
      <c r="F23">
        <v>121.384</v>
      </c>
      <c r="G23">
        <v>-14.544</v>
      </c>
      <c r="I23">
        <f t="shared" si="0"/>
        <v>420</v>
      </c>
      <c r="J23">
        <f t="shared" si="1"/>
        <v>3.7488904311616205</v>
      </c>
      <c r="K23">
        <f t="shared" si="2"/>
        <v>3.7144694175173716</v>
      </c>
      <c r="P23" s="4"/>
      <c r="Q23" s="4"/>
    </row>
    <row r="24" spans="1:17" ht="12.75">
      <c r="A24">
        <v>25</v>
      </c>
      <c r="B24">
        <v>114.619</v>
      </c>
      <c r="C24">
        <v>-6.312</v>
      </c>
      <c r="I24">
        <f t="shared" si="0"/>
        <v>440</v>
      </c>
      <c r="J24">
        <f t="shared" si="1"/>
        <v>3.922396113472716</v>
      </c>
      <c r="K24">
        <f t="shared" si="2"/>
        <v>3.886040147550828</v>
      </c>
      <c r="P24" s="4"/>
      <c r="Q24" s="4"/>
    </row>
    <row r="25" spans="1:17" ht="12.75">
      <c r="A25">
        <v>26</v>
      </c>
      <c r="B25">
        <v>114.602</v>
      </c>
      <c r="C25">
        <v>-18.361</v>
      </c>
      <c r="E25">
        <v>10</v>
      </c>
      <c r="F25">
        <v>119.856</v>
      </c>
      <c r="G25">
        <v>-16.547</v>
      </c>
      <c r="I25">
        <f t="shared" si="0"/>
        <v>460</v>
      </c>
      <c r="J25">
        <f t="shared" si="1"/>
        <v>4.095901795783812</v>
      </c>
      <c r="K25">
        <f t="shared" si="2"/>
        <v>4.057610877584285</v>
      </c>
      <c r="P25" s="4"/>
      <c r="Q25" s="4"/>
    </row>
    <row r="26" spans="1:17" ht="12.75">
      <c r="A26">
        <v>27</v>
      </c>
      <c r="B26">
        <v>119.934</v>
      </c>
      <c r="C26">
        <v>-10.04</v>
      </c>
      <c r="E26">
        <v>11</v>
      </c>
      <c r="F26">
        <v>117.67</v>
      </c>
      <c r="G26">
        <v>-15.95</v>
      </c>
      <c r="I26">
        <f t="shared" si="0"/>
        <v>480</v>
      </c>
      <c r="J26">
        <f t="shared" si="1"/>
        <v>4.269407478094908</v>
      </c>
      <c r="K26">
        <f t="shared" si="2"/>
        <v>4.229181607617741</v>
      </c>
      <c r="P26" s="4"/>
      <c r="Q26" s="4"/>
    </row>
    <row r="27" spans="1:17" ht="12.75">
      <c r="A27">
        <v>28</v>
      </c>
      <c r="B27">
        <v>119.235</v>
      </c>
      <c r="C27">
        <v>-9.093</v>
      </c>
      <c r="E27">
        <v>12</v>
      </c>
      <c r="F27">
        <v>116.595</v>
      </c>
      <c r="G27">
        <v>-14.957</v>
      </c>
      <c r="I27">
        <f t="shared" si="0"/>
        <v>500</v>
      </c>
      <c r="J27">
        <f t="shared" si="1"/>
        <v>4.442913160406003</v>
      </c>
      <c r="K27">
        <f t="shared" si="2"/>
        <v>4.4007523376511966</v>
      </c>
      <c r="P27" s="4"/>
      <c r="Q27" s="4"/>
    </row>
    <row r="28" spans="1:17" ht="12.75">
      <c r="A28">
        <v>29</v>
      </c>
      <c r="B28">
        <v>120.986</v>
      </c>
      <c r="C28">
        <v>-15.831</v>
      </c>
      <c r="E28">
        <v>13</v>
      </c>
      <c r="F28">
        <v>117.427</v>
      </c>
      <c r="G28">
        <v>-9.435</v>
      </c>
      <c r="P28" s="4"/>
      <c r="Q28" s="4"/>
    </row>
    <row r="29" spans="1:17" ht="12.75">
      <c r="A29">
        <v>30</v>
      </c>
      <c r="B29">
        <v>112.517</v>
      </c>
      <c r="C29">
        <v>-12.338</v>
      </c>
      <c r="E29">
        <v>14</v>
      </c>
      <c r="F29">
        <v>113.455</v>
      </c>
      <c r="G29">
        <v>-12.559</v>
      </c>
      <c r="P29" s="4"/>
      <c r="Q29" s="4"/>
    </row>
    <row r="30" spans="1:17" ht="12.75">
      <c r="A30">
        <v>31</v>
      </c>
      <c r="B30">
        <v>112.751</v>
      </c>
      <c r="C30">
        <v>-5.173</v>
      </c>
      <c r="E30">
        <v>15</v>
      </c>
      <c r="F30">
        <v>106.522</v>
      </c>
      <c r="G30">
        <v>-0.808</v>
      </c>
      <c r="P30" s="4"/>
      <c r="Q30" s="4"/>
    </row>
    <row r="31" spans="1:17" ht="12.75">
      <c r="A31">
        <v>32</v>
      </c>
      <c r="B31">
        <v>117.489</v>
      </c>
      <c r="C31">
        <v>-15.009</v>
      </c>
      <c r="F31">
        <f>AVERAGE(F4:F30)</f>
        <v>116.5700769230769</v>
      </c>
      <c r="G31">
        <f>AVERAGE(G4:G30)</f>
        <v>-12.995653846153846</v>
      </c>
      <c r="P31" s="4"/>
      <c r="Q31" s="4"/>
    </row>
    <row r="32" spans="1:17" ht="12.75">
      <c r="A32">
        <v>33</v>
      </c>
      <c r="B32">
        <v>119.299</v>
      </c>
      <c r="C32">
        <v>-7.088</v>
      </c>
      <c r="P32" s="4"/>
      <c r="Q32" s="4"/>
    </row>
    <row r="33" spans="1:17" ht="12.75">
      <c r="A33">
        <v>34</v>
      </c>
      <c r="B33">
        <v>116.684</v>
      </c>
      <c r="C33">
        <v>-18.432</v>
      </c>
      <c r="P33" s="4"/>
      <c r="Q33" s="4"/>
    </row>
    <row r="34" spans="1:17" ht="12.75">
      <c r="A34">
        <v>35</v>
      </c>
      <c r="B34">
        <v>120.151</v>
      </c>
      <c r="C34">
        <v>-11.343</v>
      </c>
      <c r="P34" s="4"/>
      <c r="Q34" s="4"/>
    </row>
    <row r="35" spans="1:17" ht="12.75">
      <c r="A35">
        <v>36</v>
      </c>
      <c r="B35">
        <v>115.522</v>
      </c>
      <c r="C35">
        <v>-18.727</v>
      </c>
      <c r="P35" s="4"/>
      <c r="Q35" s="4"/>
    </row>
    <row r="36" spans="1:17" ht="12.75">
      <c r="A36">
        <v>37</v>
      </c>
      <c r="B36">
        <v>116.965</v>
      </c>
      <c r="C36">
        <v>-10.571</v>
      </c>
      <c r="P36" s="4"/>
      <c r="Q36" s="4"/>
    </row>
    <row r="37" spans="1:17" ht="12.75">
      <c r="A37">
        <v>38</v>
      </c>
      <c r="B37">
        <v>113.78</v>
      </c>
      <c r="C37">
        <v>-8.523</v>
      </c>
      <c r="P37" s="4"/>
      <c r="Q37" s="4"/>
    </row>
    <row r="38" spans="1:17" ht="12.75">
      <c r="A38">
        <v>39</v>
      </c>
      <c r="B38">
        <v>120.414</v>
      </c>
      <c r="C38">
        <v>-25.243</v>
      </c>
      <c r="P38" s="4"/>
      <c r="Q38" s="4"/>
    </row>
    <row r="39" spans="1:17" ht="12.75">
      <c r="A39">
        <v>40</v>
      </c>
      <c r="B39">
        <v>113.161</v>
      </c>
      <c r="C39">
        <v>-9.397</v>
      </c>
      <c r="P39" s="4"/>
      <c r="Q39" s="4"/>
    </row>
    <row r="40" spans="1:17" ht="12.75">
      <c r="A40">
        <v>41</v>
      </c>
      <c r="B40">
        <v>117.249</v>
      </c>
      <c r="C40">
        <v>-16.846</v>
      </c>
      <c r="P40" s="4"/>
      <c r="Q40" s="4"/>
    </row>
    <row r="41" spans="1:17" ht="12.75">
      <c r="A41">
        <v>42</v>
      </c>
      <c r="B41">
        <v>115.327</v>
      </c>
      <c r="C41">
        <v>-15.905</v>
      </c>
      <c r="P41" s="4"/>
      <c r="Q41" s="4"/>
    </row>
    <row r="42" spans="1:17" ht="12.75">
      <c r="A42">
        <v>43</v>
      </c>
      <c r="B42">
        <v>118.833</v>
      </c>
      <c r="C42">
        <v>-5.662</v>
      </c>
      <c r="P42" s="4"/>
      <c r="Q42" s="4"/>
    </row>
    <row r="43" spans="1:17" ht="12.75">
      <c r="A43">
        <v>44</v>
      </c>
      <c r="B43">
        <v>118.251</v>
      </c>
      <c r="C43">
        <v>-17.479</v>
      </c>
      <c r="P43" s="4"/>
      <c r="Q43" s="4"/>
    </row>
    <row r="44" spans="1:17" ht="12.75">
      <c r="A44">
        <v>45</v>
      </c>
      <c r="B44">
        <v>113.714</v>
      </c>
      <c r="C44">
        <v>-7.164</v>
      </c>
      <c r="P44" s="4"/>
      <c r="Q44" s="4"/>
    </row>
    <row r="45" spans="1:17" ht="12.75">
      <c r="A45">
        <v>46</v>
      </c>
      <c r="B45">
        <v>119.505</v>
      </c>
      <c r="C45">
        <v>-26.054</v>
      </c>
      <c r="P45" s="4"/>
      <c r="Q45" s="4"/>
    </row>
    <row r="46" spans="1:17" ht="12.75">
      <c r="A46">
        <v>47</v>
      </c>
      <c r="B46">
        <v>117.556</v>
      </c>
      <c r="C46">
        <v>-3.032</v>
      </c>
      <c r="P46" s="4"/>
      <c r="Q46" s="4"/>
    </row>
    <row r="47" spans="1:17" ht="12.75">
      <c r="A47">
        <v>48</v>
      </c>
      <c r="B47">
        <v>112.71</v>
      </c>
      <c r="C47">
        <v>-18.544</v>
      </c>
      <c r="P47" s="4"/>
      <c r="Q47" s="4"/>
    </row>
    <row r="48" spans="1:17" ht="12.75">
      <c r="A48">
        <v>49</v>
      </c>
      <c r="B48">
        <v>118.271</v>
      </c>
      <c r="C48">
        <v>-13.932</v>
      </c>
      <c r="P48" s="4"/>
      <c r="Q48" s="4"/>
    </row>
    <row r="49" spans="1:17" ht="12.75">
      <c r="A49">
        <v>50</v>
      </c>
      <c r="B49">
        <v>113.713</v>
      </c>
      <c r="C49">
        <v>-8.064</v>
      </c>
      <c r="P49" s="4"/>
      <c r="Q49" s="4"/>
    </row>
    <row r="50" spans="1:17" ht="12.75">
      <c r="A50">
        <v>52</v>
      </c>
      <c r="B50">
        <v>122.298</v>
      </c>
      <c r="C50">
        <v>-0.864</v>
      </c>
      <c r="P50" s="4"/>
      <c r="Q50" s="4"/>
    </row>
    <row r="51" spans="1:17" ht="12.75">
      <c r="A51">
        <v>53</v>
      </c>
      <c r="B51">
        <v>109.891</v>
      </c>
      <c r="C51">
        <v>0.711</v>
      </c>
      <c r="P51" s="4"/>
      <c r="Q51" s="4"/>
    </row>
    <row r="52" spans="1:17" ht="12.75">
      <c r="A52">
        <v>56</v>
      </c>
      <c r="B52">
        <v>116.464</v>
      </c>
      <c r="C52">
        <v>-11.088</v>
      </c>
      <c r="P52" s="4"/>
      <c r="Q52" s="4"/>
    </row>
    <row r="53" spans="1:17" ht="12.75">
      <c r="A53">
        <v>57</v>
      </c>
      <c r="B53">
        <v>116.588</v>
      </c>
      <c r="C53">
        <v>-11.351</v>
      </c>
      <c r="P53" s="4"/>
      <c r="Q53" s="4"/>
    </row>
    <row r="54" spans="1:17" ht="12.75">
      <c r="A54">
        <v>59</v>
      </c>
      <c r="B54">
        <v>120.359</v>
      </c>
      <c r="C54">
        <v>-11.204</v>
      </c>
      <c r="P54" s="4"/>
      <c r="Q54" s="4"/>
    </row>
    <row r="55" spans="1:3" ht="12.75">
      <c r="A55">
        <v>60</v>
      </c>
      <c r="B55">
        <v>117.252</v>
      </c>
      <c r="C55">
        <v>-5.004</v>
      </c>
    </row>
    <row r="56" spans="1:3" ht="12.75">
      <c r="A56">
        <v>61</v>
      </c>
      <c r="B56">
        <v>117.698</v>
      </c>
      <c r="C56">
        <v>-22.669</v>
      </c>
    </row>
    <row r="57" spans="1:3" ht="12.75">
      <c r="A57">
        <v>62</v>
      </c>
      <c r="B57">
        <v>112.738</v>
      </c>
      <c r="C57">
        <v>-5.369</v>
      </c>
    </row>
    <row r="58" spans="1:3" ht="12.75">
      <c r="A58">
        <v>63</v>
      </c>
      <c r="B58">
        <v>111.411</v>
      </c>
      <c r="C58">
        <v>-7.104</v>
      </c>
    </row>
    <row r="59" spans="2:3" ht="12.75">
      <c r="B59">
        <f>SUM(B4:B58)/55</f>
        <v>115.27310909090909</v>
      </c>
      <c r="C59">
        <f>SUM(C4:C58)/55</f>
        <v>-12.134600000000002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2006-08-14T21:50:42Z</cp:lastPrinted>
  <dcterms:created xsi:type="dcterms:W3CDTF">1996-10-14T23:33:28Z</dcterms:created>
  <dcterms:modified xsi:type="dcterms:W3CDTF">2007-06-12T20:43:26Z</dcterms:modified>
  <cp:category/>
  <cp:version/>
  <cp:contentType/>
  <cp:contentStatus/>
</cp:coreProperties>
</file>