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576" windowHeight="8316" tabRatio="601" firstSheet="1" activeTab="5"/>
  </bookViews>
  <sheets>
    <sheet name="summary" sheetId="1" r:id="rId1"/>
    <sheet name="summary2" sheetId="2" r:id="rId2"/>
    <sheet name="pre-anneal" sheetId="3" r:id="rId3"/>
    <sheet name="5 min anneal" sheetId="4" r:id="rId4"/>
    <sheet name="10 min anneal" sheetId="5" r:id="rId5"/>
    <sheet name="80 min anneal" sheetId="6" r:id="rId6"/>
    <sheet name="Calibration" sheetId="7" r:id="rId7"/>
  </sheets>
  <externalReferences>
    <externalReference r:id="rId10"/>
  </externalReferences>
  <definedNames>
    <definedName name="corr" localSheetId="4">'10 min anneal'!$H$3</definedName>
    <definedName name="corr" localSheetId="3">'5 min anneal'!$H$3</definedName>
    <definedName name="corr" localSheetId="5">'80 min anneal'!$H$3</definedName>
    <definedName name="corr">'pre-anneal'!$H$3</definedName>
    <definedName name="gain" localSheetId="4">'10 min anneal'!#REF!</definedName>
    <definedName name="gain" localSheetId="3">'5 min anneal'!#REF!</definedName>
    <definedName name="gain" localSheetId="5">'80 min anneal'!#REF!</definedName>
    <definedName name="gain">'pre-anneal'!#REF!</definedName>
    <definedName name="gain1" localSheetId="4">'10 min anneal'!$C$3</definedName>
    <definedName name="gain1" localSheetId="3">'5 min anneal'!$C$3</definedName>
    <definedName name="gain1" localSheetId="5">'80 min anneal'!$C$3</definedName>
    <definedName name="gain1">'pre-anneal'!$C$3</definedName>
    <definedName name="offset" localSheetId="4">'10 min anneal'!#REF!</definedName>
    <definedName name="offset" localSheetId="3">'5 min anneal'!#REF!</definedName>
    <definedName name="offset" localSheetId="5">'80 min anneal'!#REF!</definedName>
    <definedName name="offset">'pre-anneal'!#REF!</definedName>
    <definedName name="offset1" localSheetId="4">'10 min anneal'!$E$3</definedName>
    <definedName name="offset1" localSheetId="3">'5 min anneal'!$E$3</definedName>
    <definedName name="offset1" localSheetId="5">'80 min anneal'!$E$3</definedName>
    <definedName name="offset1">'pre-anneal'!$E$3</definedName>
    <definedName name="t0">'summary2'!$D$1</definedName>
  </definedNames>
  <calcPr fullCalcOnLoad="1"/>
</workbook>
</file>

<file path=xl/sharedStrings.xml><?xml version="1.0" encoding="utf-8"?>
<sst xmlns="http://schemas.openxmlformats.org/spreadsheetml/2006/main" count="565" uniqueCount="62">
  <si>
    <t>V_thresh</t>
  </si>
  <si>
    <t>Q_thresh</t>
  </si>
  <si>
    <t>non_zero</t>
  </si>
  <si>
    <t>zero</t>
  </si>
  <si>
    <t>missing</t>
  </si>
  <si>
    <t>coin</t>
  </si>
  <si>
    <t>corr_eff</t>
  </si>
  <si>
    <t>Vrev = 40</t>
  </si>
  <si>
    <t>Vrev = 60</t>
  </si>
  <si>
    <t>Vrev = 80</t>
  </si>
  <si>
    <t>Vrev = 100</t>
  </si>
  <si>
    <t xml:space="preserve"> </t>
  </si>
  <si>
    <t>Vrev = 250</t>
  </si>
  <si>
    <t>pre anneal</t>
  </si>
  <si>
    <t>Calibration done at -10 C</t>
  </si>
  <si>
    <t>med Q</t>
  </si>
  <si>
    <t>Low voltage (60V)</t>
  </si>
  <si>
    <t>I = 9.8 uA</t>
  </si>
  <si>
    <t>Vrev = 200</t>
  </si>
  <si>
    <t>Vrev = 400</t>
  </si>
  <si>
    <t xml:space="preserve">Voltage </t>
  </si>
  <si>
    <t>eff at 1fC</t>
  </si>
  <si>
    <t xml:space="preserve">correction from sorce displacement: </t>
  </si>
  <si>
    <t>5 min anneal</t>
  </si>
  <si>
    <t>I</t>
  </si>
  <si>
    <t>80 min anneal</t>
  </si>
  <si>
    <t>anneal time</t>
  </si>
  <si>
    <t>2.5 fC</t>
  </si>
  <si>
    <t>voltage</t>
  </si>
  <si>
    <t>200 min anneal</t>
  </si>
  <si>
    <t>400 min anneal</t>
  </si>
  <si>
    <t>1000 min anneal</t>
  </si>
  <si>
    <t>2000 min anneal</t>
  </si>
  <si>
    <t>4000 min anneal</t>
  </si>
  <si>
    <t>10000 min anneal</t>
  </si>
  <si>
    <t>Voltage</t>
  </si>
  <si>
    <t>calibration 2 done at -10C, 60V</t>
  </si>
  <si>
    <t>V thresh</t>
  </si>
  <si>
    <t>Q1 thresh</t>
  </si>
  <si>
    <t>Q2 thresh</t>
  </si>
  <si>
    <t>Q 187-2</t>
  </si>
  <si>
    <t>V</t>
  </si>
  <si>
    <t>T = 10C</t>
  </si>
  <si>
    <t>gain = 119.8026</t>
  </si>
  <si>
    <t>offset = -15.5436</t>
  </si>
  <si>
    <t>Vrev = 130</t>
  </si>
  <si>
    <t>Vrev = 160</t>
  </si>
  <si>
    <t xml:space="preserve">I = </t>
  </si>
  <si>
    <t>Vrev = 300</t>
  </si>
  <si>
    <t>Vrev = 350</t>
  </si>
  <si>
    <t>T= -20 C</t>
  </si>
  <si>
    <t xml:space="preserve">p-type detector ' 66-8' neutron irradiated </t>
  </si>
  <si>
    <t>Vrev = 450</t>
  </si>
  <si>
    <t>Vrev = 500</t>
  </si>
  <si>
    <t>V = 300V</t>
  </si>
  <si>
    <t>I (-10C)</t>
  </si>
  <si>
    <t>I (-20C)</t>
  </si>
  <si>
    <t>Vrev = 550</t>
  </si>
  <si>
    <t>Vrev = 600</t>
  </si>
  <si>
    <t>Vrev = 650</t>
  </si>
  <si>
    <t>Vrev = 700</t>
  </si>
  <si>
    <t>10 min anneal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</si>
</sst>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.5"/>
      <name val="Arial"/>
      <family val="0"/>
    </font>
    <font>
      <vertAlign val="superscript"/>
      <sz val="8"/>
      <name val="Arial"/>
      <family val="0"/>
    </font>
    <font>
      <vertAlign val="superscript"/>
      <sz val="8.75"/>
      <name val="Arial"/>
      <family val="0"/>
    </font>
    <font>
      <vertAlign val="superscript"/>
      <sz val="8.5"/>
      <name val="Arial"/>
      <family val="0"/>
    </font>
    <font>
      <vertAlign val="superscript"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66"/>
          <c:w val="0.88425"/>
          <c:h val="0.85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summary!$A$5:$A$14</c:f>
              <c:numCache/>
            </c:numRef>
          </c:xVal>
          <c:yVal>
            <c:numRef>
              <c:f>summary!$C$5:$C$14</c:f>
              <c:numCache/>
            </c:numRef>
          </c:y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summary!$A$20:$A$30</c:f>
              <c:numCache/>
            </c:numRef>
          </c:xVal>
          <c:yVal>
            <c:numRef>
              <c:f>summary!$C$20:$C$30</c:f>
              <c:numCache/>
            </c:numRef>
          </c:yVal>
          <c:smooth val="1"/>
        </c:ser>
        <c:ser>
          <c:idx val="2"/>
          <c:order val="2"/>
          <c:tx>
            <c:strRef>
              <c:f>summary!$A$32</c:f>
              <c:strCache>
                <c:ptCount val="1"/>
                <c:pt idx="0">
                  <c:v>10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summary!$A$35:$A$49</c:f>
              <c:numCache/>
            </c:numRef>
          </c:xVal>
          <c:yVal>
            <c:numRef>
              <c:f>summary!$C$35:$C$49</c:f>
              <c:numCache/>
            </c:numRef>
          </c:yVal>
          <c:smooth val="1"/>
        </c:ser>
        <c:ser>
          <c:idx val="3"/>
          <c:order val="3"/>
          <c:tx>
            <c:strRef>
              <c:f>summary!$A$55</c:f>
              <c:strCache>
                <c:ptCount val="1"/>
                <c:pt idx="0">
                  <c:v>80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summary!$A$58:$A$68</c:f>
              <c:numCache/>
            </c:numRef>
          </c:xVal>
          <c:yVal>
            <c:numRef>
              <c:f>summary!$C$58:$C$68</c:f>
              <c:numCache/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summary!$E$4:$E$14</c:f>
              <c:numCache/>
            </c:numRef>
          </c:xVal>
          <c:yVal>
            <c:numRef>
              <c:f>summary!$G$4:$G$14</c:f>
              <c:numCache/>
            </c:numRef>
          </c:yVal>
          <c:smooth val="1"/>
        </c:ser>
        <c:ser>
          <c:idx val="5"/>
          <c:order val="5"/>
          <c:tx>
            <c:strRef>
              <c:f>summary!$E$17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summary!$E$20:$E$30</c:f>
              <c:numCache/>
            </c:numRef>
          </c:xVal>
          <c:yVal>
            <c:numRef>
              <c:f>summary!$G$20:$G$30</c:f>
              <c:numCache/>
            </c:numRef>
          </c:yVal>
          <c:smooth val="1"/>
        </c:ser>
        <c:ser>
          <c:idx val="6"/>
          <c:order val="6"/>
          <c:tx>
            <c:strRef>
              <c:f>summary!$E$32</c:f>
              <c:strCache>
                <c:ptCount val="1"/>
                <c:pt idx="0">
                  <c:v>400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summary!$E$35:$E$45</c:f>
              <c:numCache/>
            </c:numRef>
          </c:xVal>
          <c:yVal>
            <c:numRef>
              <c:f>summary!$G$35:$G$45</c:f>
              <c:numCache/>
            </c:numRef>
          </c:yVal>
          <c:smooth val="1"/>
        </c:ser>
        <c:ser>
          <c:idx val="7"/>
          <c:order val="7"/>
          <c:tx>
            <c:strRef>
              <c:f>summary!$E$55</c:f>
              <c:strCache>
                <c:ptCount val="1"/>
                <c:pt idx="0">
                  <c:v>1000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summary!$E$61:$E$68</c:f>
              <c:numCache/>
            </c:numRef>
          </c:xVal>
          <c:yVal>
            <c:numRef>
              <c:f>summary!$G$61:$G$68</c:f>
              <c:numCache/>
            </c:numRef>
          </c:yVal>
          <c:smooth val="1"/>
        </c:ser>
        <c:ser>
          <c:idx val="8"/>
          <c:order val="8"/>
          <c:tx>
            <c:strRef>
              <c:f>summary!$I$36</c:f>
              <c:strCache>
                <c:ptCount val="1"/>
                <c:pt idx="0">
                  <c:v>2000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summary!$H$43:$H$57</c:f>
              <c:numCache/>
            </c:numRef>
          </c:xVal>
          <c:yVal>
            <c:numRef>
              <c:f>(summary!$K$42:$K$43,summary!$K$45:$K$57)</c:f>
              <c:numCache/>
            </c:numRef>
          </c:yVal>
          <c:smooth val="1"/>
        </c:ser>
        <c:ser>
          <c:idx val="9"/>
          <c:order val="9"/>
          <c:tx>
            <c:strRef>
              <c:f>summary!$I$59</c:f>
              <c:strCache>
                <c:ptCount val="1"/>
                <c:pt idx="0">
                  <c:v>4000 min anneal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summary!$H$44:$H$57</c:f>
              <c:numCache/>
            </c:numRef>
          </c:xVal>
          <c:yVal>
            <c:numRef>
              <c:f>(summary!$K$61,summary!$K$63:$K$68)</c:f>
              <c:numCache/>
            </c:numRef>
          </c:yVal>
          <c:smooth val="1"/>
        </c:ser>
        <c:ser>
          <c:idx val="10"/>
          <c:order val="10"/>
          <c:tx>
            <c:strRef>
              <c:f>summary!$M$36</c:f>
              <c:strCache>
                <c:ptCount val="1"/>
                <c:pt idx="0">
                  <c:v>10000 min anneal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summary!$M$39:$M$53</c:f>
              <c:numCache/>
            </c:numRef>
          </c:xVal>
          <c:yVal>
            <c:numRef>
              <c:f>summary!$O$39:$O$53</c:f>
              <c:numCache/>
            </c:numRef>
          </c:yVal>
          <c:smooth val="1"/>
        </c:ser>
        <c:axId val="48337898"/>
        <c:axId val="32387899"/>
      </c:scatterChart>
      <c:val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crossBetween val="midCat"/>
        <c:dispUnits/>
      </c:val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37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5265"/>
          <c:w val="0.259"/>
          <c:h val="0.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575"/>
          <c:w val="0.8947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'pre-anneal'!$A$63</c:f>
              <c:strCache>
                <c:ptCount val="1"/>
                <c:pt idx="0">
                  <c:v>Vrev = 160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'pre-anneal'!$B$66:$B$72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'pre-anneal'!$G$66:$G$72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015460"/>
        <c:axId val="32812549"/>
      </c:scatterChart>
      <c:valAx>
        <c:axId val="2601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549"/>
        <c:crosses val="autoZero"/>
        <c:crossBetween val="midCat"/>
        <c:dispUnits/>
      </c:valAx>
      <c:valAx>
        <c:axId val="3281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'pre-anneal'!$A$78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'pre-anneal'!$B$81:$B$88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'pre-anneal'!$G$81:$G$88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6877486"/>
        <c:axId val="40570783"/>
      </c:scatterChart>
      <c:val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70783"/>
        <c:crosses val="autoZero"/>
        <c:crossBetween val="midCat"/>
        <c:dispUnits/>
      </c:val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77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4625"/>
          <c:w val="0.893"/>
          <c:h val="0.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'pre-anneal'!$A$93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('pre-anneal'!$B$96,'pre-anneal'!$B$98:$B$101)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('pre-anneal'!$G$96,'pre-anneal'!$G$98:$G$101)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9592728"/>
        <c:axId val="65007961"/>
      </c:scatterChart>
      <c:val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crossBetween val="midCat"/>
        <c:dispUnits/>
      </c:valAx>
      <c:valAx>
        <c:axId val="65007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'pre-anneal'!$A$108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'pre-anneal'!$B$111:$B$119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'pre-anneal'!$G$111:$G$119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48200738"/>
        <c:axId val="31153459"/>
      </c:scatterChart>
      <c:val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3459"/>
        <c:crosses val="autoZero"/>
        <c:crossBetween val="midCat"/>
        <c:dispUnits/>
      </c:val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'pre-anneal'!$A$123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'pre-anneal'!$B$128:$B$130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'pre-anneal'!$G$128:$G$130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1945676"/>
        <c:axId val="40402221"/>
      </c:scatterChart>
      <c:val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crossBetween val="midCat"/>
        <c:dispUnits/>
      </c:valAx>
      <c:valAx>
        <c:axId val="404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'pre-anneal'!$A$135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'pre-anneal'!$B$140:$B$142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'pre-anneal'!$G$140:$G$142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8075670"/>
        <c:axId val="51354439"/>
      </c:scatterChart>
      <c:val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crossBetween val="midCat"/>
        <c:dispUnits/>
      </c:valAx>
      <c:valAx>
        <c:axId val="5135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5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975"/>
          <c:w val="0.891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'pre-anneal'!$A$145</c:f>
              <c:strCache>
                <c:ptCount val="1"/>
                <c:pt idx="0">
                  <c:v>Vrev = 450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'pre-anneal'!$B$152:$B$153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'pre-anneal'!$G$152:$G$153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9536768"/>
        <c:axId val="66068865"/>
      </c:scatterChart>
      <c:val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8865"/>
        <c:crosses val="autoZero"/>
        <c:crossBetween val="midCat"/>
        <c:dispUnits/>
      </c:valAx>
      <c:valAx>
        <c:axId val="66068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2"/>
          <c:w val="0.894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anneal'!$A$36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anneal'!$B$39:$B$41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'5 min anneal'!$G$39:$G$41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7748874"/>
        <c:axId val="49977819"/>
      </c:scatterChart>
      <c:val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crossBetween val="midCat"/>
        <c:dispUnits/>
      </c:valAx>
      <c:valAx>
        <c:axId val="4997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anneal'!$A$47</c:f>
              <c:strCache>
                <c:ptCount val="1"/>
                <c:pt idx="0">
                  <c:v>Vrev = 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anneal'!$B$50:$B$56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 min anneal'!$G$50:$G$56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7147188"/>
        <c:axId val="21671509"/>
      </c:scatterChart>
      <c:valAx>
        <c:axId val="4714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crossBetween val="midCat"/>
        <c:dispUnits/>
      </c:valAx>
      <c:valAx>
        <c:axId val="2167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575"/>
          <c:w val="0.8947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anneal'!$A$59</c:f>
              <c:strCache>
                <c:ptCount val="1"/>
                <c:pt idx="0">
                  <c:v>Vrev = 160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anneal'!$B$62:$B$68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 min anneal'!$G$62:$G$68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0825854"/>
        <c:axId val="10561775"/>
      </c:scatterChart>
      <c:val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valAx>
        <c:axId val="10561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115"/>
          <c:w val="0.882"/>
          <c:h val="0.92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summary!$A$3:$A$13</c:f>
              <c:numCache/>
            </c:numRef>
          </c:xVal>
          <c:yVal>
            <c:numRef>
              <c:f>summary!$B$3:$B$13</c:f>
              <c:numCache/>
            </c:numRef>
          </c:y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5 min anneal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summary!$A$19:$A$30</c:f>
              <c:numCache/>
            </c:numRef>
          </c:xVal>
          <c:yVal>
            <c:numRef>
              <c:f>summary!$B$19:$B$30</c:f>
              <c:numCache/>
            </c:numRef>
          </c:yVal>
          <c:smooth val="1"/>
        </c:ser>
        <c:ser>
          <c:idx val="2"/>
          <c:order val="2"/>
          <c:tx>
            <c:strRef>
              <c:f>summary!$A$32</c:f>
              <c:strCache>
                <c:ptCount val="1"/>
                <c:pt idx="0">
                  <c:v>10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summary!$A$34:$A$45</c:f>
              <c:numCache/>
            </c:numRef>
          </c:xVal>
          <c:yVal>
            <c:numRef>
              <c:f>summary!$B$34:$B$45</c:f>
              <c:numCache/>
            </c:numRef>
          </c:yVal>
          <c:smooth val="1"/>
        </c:ser>
        <c:ser>
          <c:idx val="3"/>
          <c:order val="3"/>
          <c:tx>
            <c:strRef>
              <c:f>summary!$A$55</c:f>
              <c:strCache>
                <c:ptCount val="1"/>
                <c:pt idx="0">
                  <c:v>80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summary!$A$57:$A$68</c:f>
              <c:numCache/>
            </c:numRef>
          </c:xVal>
          <c:yVal>
            <c:numRef>
              <c:f>summary!$B$57:$B$68</c:f>
              <c:numCache/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summary!$E$3:$E$14</c:f>
              <c:numCache/>
            </c:numRef>
          </c:xVal>
          <c:yVal>
            <c:numRef>
              <c:f>summary!$F$3:$F$14</c:f>
              <c:numCache/>
            </c:numRef>
          </c:yVal>
          <c:smooth val="1"/>
        </c:ser>
        <c:ser>
          <c:idx val="5"/>
          <c:order val="5"/>
          <c:tx>
            <c:strRef>
              <c:f>summary!$E$17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summary!$E$19:$E$30</c:f>
              <c:numCache/>
            </c:numRef>
          </c:xVal>
          <c:yVal>
            <c:numRef>
              <c:f>summary!$F$19:$F$30</c:f>
              <c:numCache/>
            </c:numRef>
          </c:yVal>
          <c:smooth val="1"/>
        </c:ser>
        <c:ser>
          <c:idx val="6"/>
          <c:order val="6"/>
          <c:tx>
            <c:strRef>
              <c:f>summary!$E$32</c:f>
              <c:strCache>
                <c:ptCount val="1"/>
                <c:pt idx="0">
                  <c:v>400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summary!$E$34:$E$45</c:f>
              <c:numCache/>
            </c:numRef>
          </c:xVal>
          <c:yVal>
            <c:numRef>
              <c:f>summary!$F$34:$F$45</c:f>
              <c:numCache/>
            </c:numRef>
          </c:yVal>
          <c:smooth val="1"/>
        </c:ser>
        <c:ser>
          <c:idx val="7"/>
          <c:order val="7"/>
          <c:tx>
            <c:strRef>
              <c:f>summary!$E$55</c:f>
              <c:strCache>
                <c:ptCount val="1"/>
                <c:pt idx="0">
                  <c:v>1000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summary!$E$59:$E$68</c:f>
              <c:numCache/>
            </c:numRef>
          </c:xVal>
          <c:yVal>
            <c:numRef>
              <c:f>summary!$F$59:$F$68</c:f>
              <c:numCache/>
            </c:numRef>
          </c:yVal>
          <c:smooth val="1"/>
        </c:ser>
        <c:ser>
          <c:idx val="8"/>
          <c:order val="8"/>
          <c:tx>
            <c:strRef>
              <c:f>summary!$I$36</c:f>
              <c:strCache>
                <c:ptCount val="1"/>
                <c:pt idx="0">
                  <c:v>2000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summary!$I$41:$I$57</c:f>
              <c:numCache/>
            </c:numRef>
          </c:xVal>
          <c:yVal>
            <c:numRef>
              <c:f>summary!$J$41:$J$57</c:f>
              <c:numCache/>
            </c:numRef>
          </c:yVal>
          <c:smooth val="1"/>
        </c:ser>
        <c:ser>
          <c:idx val="9"/>
          <c:order val="9"/>
          <c:tx>
            <c:strRef>
              <c:f>summary!$I$59</c:f>
              <c:strCache>
                <c:ptCount val="1"/>
                <c:pt idx="0">
                  <c:v>4000 min anneal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summary!$I$60:$I$68</c:f>
              <c:numCache/>
            </c:numRef>
          </c:xVal>
          <c:yVal>
            <c:numRef>
              <c:f>summary!$J$60:$J$68</c:f>
              <c:numCache/>
            </c:numRef>
          </c:yVal>
          <c:smooth val="1"/>
        </c:ser>
        <c:ser>
          <c:idx val="10"/>
          <c:order val="10"/>
          <c:tx>
            <c:strRef>
              <c:f>summary!$M$36</c:f>
              <c:strCache>
                <c:ptCount val="1"/>
                <c:pt idx="0">
                  <c:v>10000 min anneal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summary!$M$38:$M$53</c:f>
              <c:numCache/>
            </c:numRef>
          </c:xVal>
          <c:yVal>
            <c:numRef>
              <c:f>summary!$N$38:$N$53</c:f>
              <c:numCache/>
            </c:numRef>
          </c:yVal>
          <c:smooth val="1"/>
        </c:ser>
        <c:axId val="23055636"/>
        <c:axId val="6174133"/>
      </c:scatterChart>
      <c:val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crossBetween val="midCat"/>
        <c:dispUnits/>
      </c:valAx>
      <c:valAx>
        <c:axId val="617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55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547"/>
          <c:w val="0.31125"/>
          <c:h val="0.2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'5 min anneal'!$A$74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anneal'!$B$77:$B$84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'5 min anneal'!$G$77:$G$84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7947112"/>
        <c:axId val="50197417"/>
      </c:scatterChart>
      <c:val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97417"/>
        <c:crosses val="autoZero"/>
        <c:crossBetween val="midCat"/>
        <c:dispUnits/>
      </c:valAx>
      <c:valAx>
        <c:axId val="501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4625"/>
          <c:w val="0.893"/>
          <c:h val="0.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anneal'!$A$89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anneal'!$B$92:$B$98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 min anneal'!$G$92:$G$98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9123570"/>
        <c:axId val="39458947"/>
      </c:scatterChart>
      <c:valAx>
        <c:axId val="4912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8947"/>
        <c:crosses val="autoZero"/>
        <c:crossBetween val="midCat"/>
        <c:dispUnits/>
      </c:valAx>
      <c:valAx>
        <c:axId val="3945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'5 min anneal'!$A$104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anneal'!$B$110:$B$114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'5 min anneal'!$G$110:$G$114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9586204"/>
        <c:axId val="42058109"/>
      </c:scatterChart>
      <c:val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crossBetween val="midCat"/>
        <c:dispUnits/>
      </c:val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925"/>
          <c:w val="0.89625"/>
          <c:h val="0.6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anneal'!$A$118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anneal'!$B$124:$B$127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'5 min anneal'!$G$124:$G$127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2978662"/>
        <c:axId val="51263639"/>
      </c:scatterChart>
      <c:val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crossBetween val="midCat"/>
        <c:dispUnits/>
      </c:valAx>
      <c:valAx>
        <c:axId val="5126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'5 min anneal'!$A$130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anneal'!$B$137:$B$138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'5 min anneal'!$G$137:$G$138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8719568"/>
        <c:axId val="58714065"/>
      </c:scatterChart>
      <c:valAx>
        <c:axId val="5871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crossBetween val="midCat"/>
        <c:dispUnits/>
      </c:val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55"/>
          <c:w val="0.897"/>
          <c:h val="0.74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anneal'!$A$140</c:f>
              <c:strCache>
                <c:ptCount val="1"/>
                <c:pt idx="0">
                  <c:v>Vrev = 450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anneal'!$B$147:$B$148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'5 min anneal'!$G$147:$G$148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8664538"/>
        <c:axId val="58218795"/>
      </c:scatterChart>
      <c:valAx>
        <c:axId val="5866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795"/>
        <c:crosses val="autoZero"/>
        <c:crossBetween val="midCat"/>
        <c:dispUnits/>
      </c:val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875"/>
          <c:w val="0.8965"/>
          <c:h val="0.7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anneal'!$A$118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anneal'!$B$123:$B$126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'5 min anneal'!$G$123:$G$126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4207108"/>
        <c:axId val="18101925"/>
      </c:scatterChart>
      <c:valAx>
        <c:axId val="54207108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1925"/>
        <c:crosses val="autoZero"/>
        <c:crossBetween val="midCat"/>
        <c:dispUnits/>
      </c:valAx>
      <c:valAx>
        <c:axId val="18101925"/>
        <c:scaling>
          <c:orientation val="minMax"/>
          <c:max val="0.51"/>
          <c:min val="0.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71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min anneal'!$A$152</c:f>
              <c:strCache>
                <c:ptCount val="1"/>
                <c:pt idx="0">
                  <c:v>Vrev = 500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anneal'!$B$157:$B$159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'5 min anneal'!$G$157:$G$159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8699598"/>
        <c:axId val="56969791"/>
      </c:scatterChart>
      <c:val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9791"/>
        <c:crosses val="autoZero"/>
        <c:crossBetween val="midCat"/>
        <c:dispUnits/>
      </c:valAx>
      <c:valAx>
        <c:axId val="5696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2"/>
          <c:w val="0.894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anneal'!$A$36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anneal'!$B$40:$B$41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'10 min anneal'!$G$40:$G$41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2966072"/>
        <c:axId val="51150329"/>
      </c:scatterChart>
      <c:val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50329"/>
        <c:crosses val="autoZero"/>
        <c:crossBetween val="midCat"/>
        <c:dispUnits/>
      </c:val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anneal'!$A$47</c:f>
              <c:strCache>
                <c:ptCount val="1"/>
                <c:pt idx="0">
                  <c:v>Vrev = 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anneal'!$B$50:$B$56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 min anneal'!$G$50:$G$56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7699778"/>
        <c:axId val="49535955"/>
      </c:scatterChart>
      <c:val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5955"/>
        <c:crosses val="autoZero"/>
        <c:crossBetween val="midCat"/>
        <c:dispUnits/>
      </c:valAx>
      <c:valAx>
        <c:axId val="4953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9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32"/>
          <c:w val="0.8917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summary2!$B$2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summary2!$B$3:$B$13</c:f>
              <c:numCache>
                <c:ptCount val="11"/>
                <c:pt idx="0">
                  <c:v>1.97</c:v>
                </c:pt>
                <c:pt idx="1">
                  <c:v>2.31</c:v>
                </c:pt>
                <c:pt idx="2">
                  <c:v>2.31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summary2!$C$2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summary2!$A$3:$A$13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summary2!$C$3:$C$13</c:f>
              <c:numCache>
                <c:ptCount val="11"/>
                <c:pt idx="0">
                  <c:v>0.9052219137056039</c:v>
                </c:pt>
                <c:pt idx="1">
                  <c:v>0.8775003773584905</c:v>
                </c:pt>
                <c:pt idx="2">
                  <c:v>0.919089152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5567198"/>
        <c:axId val="30342735"/>
      </c:scatterChart>
      <c:valAx>
        <c:axId val="5556719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42735"/>
        <c:crosses val="autoZero"/>
        <c:crossBetween val="midCat"/>
        <c:dispUnits/>
      </c:val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 Q or eff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75"/>
          <c:y val="0.2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575"/>
          <c:w val="0.8947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anneal'!$A$59</c:f>
              <c:strCache>
                <c:ptCount val="1"/>
                <c:pt idx="0">
                  <c:v>Vrev = 160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anneal'!$B$62:$B$68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 min anneal'!$G$62:$G$68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3170412"/>
        <c:axId val="52989389"/>
      </c:scatterChart>
      <c:val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9389"/>
        <c:crosses val="autoZero"/>
        <c:crossBetween val="midCat"/>
        <c:dispUnits/>
      </c:valAx>
      <c:valAx>
        <c:axId val="5298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 min anneal'!$A$74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anneal'!$B$77:$B$84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'10 min anneal'!$G$77:$G$84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7142454"/>
        <c:axId val="64282087"/>
      </c:scatterChart>
      <c:val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2087"/>
        <c:crosses val="autoZero"/>
        <c:crossBetween val="midCat"/>
        <c:dispUnits/>
      </c:valAx>
      <c:valAx>
        <c:axId val="64282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42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925"/>
          <c:w val="0.893"/>
          <c:h val="0.7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anneal'!$A$89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anneal'!$B$92:$B$98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 min anneal'!$G$92:$G$98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1667872"/>
        <c:axId val="39466529"/>
      </c:scatterChart>
      <c:val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crossBetween val="midCat"/>
        <c:dispUnits/>
      </c:valAx>
      <c:valAx>
        <c:axId val="3946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 min anneal'!$A$104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anneal'!$B$110:$B$114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'10 min anneal'!$G$110:$G$114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9654442"/>
        <c:axId val="42672251"/>
      </c:scatterChart>
      <c:val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2251"/>
        <c:crosses val="autoZero"/>
        <c:crossBetween val="midCat"/>
        <c:dispUnits/>
      </c:valAx>
      <c:valAx>
        <c:axId val="426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925"/>
          <c:w val="0.89625"/>
          <c:h val="0.6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anneal'!$A$118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anneal'!$B$122:$B$126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'10 min anneal'!$G$122:$G$126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8505940"/>
        <c:axId val="33900277"/>
      </c:scatterChart>
      <c:val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0277"/>
        <c:crosses val="autoZero"/>
        <c:crossBetween val="midCat"/>
        <c:dispUnits/>
      </c:valAx>
      <c:valAx>
        <c:axId val="3390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5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 min anneal'!$A$130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anneal'!$B$134:$B$138</c:f>
              <c:numCache/>
            </c:numRef>
          </c:xVal>
          <c:yVal>
            <c:numRef>
              <c:f>'10 min anneal'!$G$134:$G$138</c:f>
              <c:numCache/>
            </c:numRef>
          </c:yVal>
          <c:smooth val="1"/>
        </c:ser>
        <c:axId val="36667038"/>
        <c:axId val="61567887"/>
      </c:scatterChart>
      <c:val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crossBetween val="midCat"/>
        <c:dispUnits/>
      </c:valAx>
      <c:valAx>
        <c:axId val="6156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7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275"/>
          <c:w val="0.897"/>
          <c:h val="0.7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anneal'!$A$142</c:f>
              <c:strCache>
                <c:ptCount val="1"/>
                <c:pt idx="0">
                  <c:v>Vrev = 450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anneal'!$B$146:$B$150</c:f>
              <c:numCache/>
            </c:numRef>
          </c:xVal>
          <c:yVal>
            <c:numRef>
              <c:f>'10 min anneal'!$G$146:$G$150</c:f>
              <c:numCache/>
            </c:numRef>
          </c:yVal>
          <c:smooth val="1"/>
        </c:ser>
        <c:axId val="17240072"/>
        <c:axId val="20942921"/>
      </c:scatterChart>
      <c:val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crossBetween val="midCat"/>
        <c:dispUnits/>
      </c:valAx>
      <c:valAx>
        <c:axId val="2094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40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'10 min anneal'!$A$153</c:f>
              <c:strCache>
                <c:ptCount val="1"/>
                <c:pt idx="0">
                  <c:v>Vrev = 500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anneal'!$B$158:$B$160</c:f>
              <c:numCache/>
            </c:numRef>
          </c:xVal>
          <c:yVal>
            <c:numRef>
              <c:f>'10 min anneal'!$G$158:$G$160</c:f>
              <c:numCache/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crossBetween val="midCat"/>
        <c:dispUnits/>
      </c:valAx>
      <c:valAx>
        <c:axId val="1865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68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975"/>
          <c:w val="0.88575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anneal'!$A$175</c:f>
              <c:strCache>
                <c:ptCount val="1"/>
                <c:pt idx="0">
                  <c:v>Vrev =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anneal'!$B$179:$B$181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'10 min anneal'!$G$179:$G$181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3677372"/>
        <c:axId val="34660893"/>
      </c:scatterChart>
      <c:val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0893"/>
        <c:crosses val="autoZero"/>
        <c:crossBetween val="midCat"/>
        <c:dispUnits/>
      </c:valAx>
      <c:valAx>
        <c:axId val="34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7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6"/>
          <c:w val="0.887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anneal'!$A$184</c:f>
              <c:strCache>
                <c:ptCount val="1"/>
                <c:pt idx="0">
                  <c:v>Vrev = 650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anneal'!$B$188:$B$191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'10 min anneal'!$G$188:$G$191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3512582"/>
        <c:axId val="56068919"/>
      </c:scatterChart>
      <c:val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crossBetween val="midCat"/>
        <c:dispUnits/>
      </c:val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voltage for 2.5 fC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25"/>
          <c:w val="0.89125"/>
          <c:h val="0.75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summary2!$A$22:$A$32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summary2!$B$22:$B$32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649160"/>
        <c:axId val="41842441"/>
      </c:scatterChart>
      <c:valAx>
        <c:axId val="464916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crossBetween val="midCat"/>
        <c:dispUnits/>
      </c:valAx>
      <c:valAx>
        <c:axId val="418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6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175"/>
          <c:w val="0.88825"/>
          <c:h val="0.7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anneal'!$A$196</c:f>
              <c:strCache>
                <c:ptCount val="1"/>
                <c:pt idx="0">
                  <c:v>Vrev =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anneal'!$B$202:$B$203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'10 min anneal'!$G$202:$G$203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4858224"/>
        <c:axId val="45288561"/>
      </c:scatterChart>
      <c:val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8561"/>
        <c:crosses val="autoZero"/>
        <c:crossBetween val="midCat"/>
        <c:dispUnits/>
      </c:val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8025"/>
          <c:w val="0.88475"/>
          <c:h val="0.7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 min anneal'!$A$165</c:f>
              <c:strCache>
                <c:ptCount val="1"/>
                <c:pt idx="0">
                  <c:v>Vrev = 550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 min anneal'!$B$170:$B$172</c:f>
              <c:numCache/>
            </c:numRef>
          </c:xVal>
          <c:yVal>
            <c:numRef>
              <c:f>'10 min anneal'!$G$170:$G$172</c:f>
              <c:numCache/>
            </c:numRef>
          </c:yVal>
          <c:smooth val="1"/>
        </c:ser>
        <c:axId val="4943866"/>
        <c:axId val="44494795"/>
      </c:scatterChart>
      <c:val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4795"/>
        <c:crosses val="autoZero"/>
        <c:crossBetween val="midCat"/>
        <c:dispUnits/>
      </c:val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15"/>
          <c:w val="0.89425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anneal'!$A$36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anneal'!$B$39:$B$41</c:f>
              <c:numCache/>
            </c:numRef>
          </c:xVal>
          <c:yVal>
            <c:numRef>
              <c:f>'80 min anneal'!$G$39:$G$41</c:f>
              <c:numCache/>
            </c:numRef>
          </c:yVal>
          <c:smooth val="1"/>
        </c:ser>
        <c:axId val="64908836"/>
        <c:axId val="47308613"/>
      </c:scatterChart>
      <c:val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crossBetween val="midCat"/>
        <c:dispUnits/>
      </c:valAx>
      <c:valAx>
        <c:axId val="4730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175"/>
          <c:w val="0.8962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anneal'!$A$47</c:f>
              <c:strCache>
                <c:ptCount val="1"/>
                <c:pt idx="0">
                  <c:v>Vrev = 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anneal'!$B$50:$B$53</c:f>
              <c:numCache/>
            </c:numRef>
          </c:xVal>
          <c:yVal>
            <c:numRef>
              <c:f>'80 min anneal'!$G$50:$G$53</c:f>
              <c:numCache/>
            </c:numRef>
          </c:yVal>
          <c:smooth val="1"/>
        </c:ser>
        <c:axId val="23124334"/>
        <c:axId val="6792415"/>
      </c:scatterChart>
      <c:val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415"/>
        <c:crosses val="autoZero"/>
        <c:crossBetween val="midCat"/>
        <c:dispUnits/>
      </c:valAx>
      <c:valAx>
        <c:axId val="679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4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56"/>
          <c:w val="0.8945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anneal'!$A$59</c:f>
              <c:strCache>
                <c:ptCount val="1"/>
                <c:pt idx="0">
                  <c:v>Vrev = 160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anneal'!$B$62:$B$68</c:f>
              <c:numCache/>
            </c:numRef>
          </c:xVal>
          <c:yVal>
            <c:numRef>
              <c:f>'80 min anneal'!$G$62:$G$68</c:f>
              <c:numCache/>
            </c:numRef>
          </c:yVal>
          <c:smooth val="1"/>
        </c:ser>
        <c:axId val="61131736"/>
        <c:axId val="13314713"/>
      </c:scatterChart>
      <c:val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14713"/>
        <c:crosses val="autoZero"/>
        <c:crossBetween val="midCat"/>
        <c:dispUnits/>
      </c:valAx>
      <c:valAx>
        <c:axId val="1331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 min anneal'!$A$74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anneal'!$B$77:$B$84</c:f>
              <c:numCache/>
            </c:numRef>
          </c:xVal>
          <c:yVal>
            <c:numRef>
              <c:f>'80 min anneal'!$G$77:$G$84</c:f>
              <c:numCache/>
            </c:numRef>
          </c:yVal>
          <c:smooth val="1"/>
        </c:ser>
        <c:axId val="52723554"/>
        <c:axId val="4749939"/>
      </c:scatterChart>
      <c:val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crossBetween val="midCat"/>
        <c:dispUnits/>
      </c:valAx>
      <c:valAx>
        <c:axId val="4749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925"/>
          <c:w val="0.8925"/>
          <c:h val="0.75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anneal'!$A$89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anneal'!$B$92:$B$98</c:f>
              <c:numCache/>
            </c:numRef>
          </c:xVal>
          <c:yVal>
            <c:numRef>
              <c:f>'80 min anneal'!$G$92:$G$98</c:f>
              <c:numCache/>
            </c:numRef>
          </c:yVal>
          <c:smooth val="1"/>
        </c:ser>
        <c:axId val="42749452"/>
        <c:axId val="49200749"/>
      </c:scatterChart>
      <c:val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crossBetween val="midCat"/>
        <c:dispUnits/>
      </c:valAx>
      <c:valAx>
        <c:axId val="49200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 min anneal'!$A$104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anneal'!$B$107:$B$114</c:f>
              <c:numCache/>
            </c:numRef>
          </c:xVal>
          <c:yVal>
            <c:numRef>
              <c:f>'80 min anneal'!$G$107:$G$114</c:f>
              <c:numCache/>
            </c:numRef>
          </c:yVal>
          <c:smooth val="1"/>
        </c:ser>
        <c:axId val="40153558"/>
        <c:axId val="25837703"/>
      </c:scatterChart>
      <c:val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crossBetween val="midCat"/>
        <c:dispUnits/>
      </c:valAx>
      <c:valAx>
        <c:axId val="2583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925"/>
          <c:w val="0.8965"/>
          <c:h val="0.69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anneal'!$A$118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anneal'!$B$122:$B$126</c:f>
              <c:numCache/>
            </c:numRef>
          </c:xVal>
          <c:yVal>
            <c:numRef>
              <c:f>'80 min anneal'!$G$122:$G$126</c:f>
              <c:numCache/>
            </c:numRef>
          </c:yVal>
          <c:smooth val="1"/>
        </c:ser>
        <c:axId val="31212736"/>
        <c:axId val="12479169"/>
      </c:scatterChart>
      <c:val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crossBetween val="midCat"/>
        <c:dispUnits/>
      </c:valAx>
      <c:valAx>
        <c:axId val="1247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 min anneal'!$A$130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anneal'!$B$137:$B$138</c:f>
              <c:numCache/>
            </c:numRef>
          </c:xVal>
          <c:yVal>
            <c:numRef>
              <c:f>'80 min anneal'!$G$137:$G$138</c:f>
              <c:numCache/>
            </c:numRef>
          </c:yVal>
          <c:smooth val="1"/>
        </c:ser>
        <c:axId val="45203658"/>
        <c:axId val="4179739"/>
      </c:scatterChart>
      <c:val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739"/>
        <c:crosses val="autoZero"/>
        <c:crossBetween val="midCat"/>
        <c:dispUnits/>
      </c:valAx>
      <c:valAx>
        <c:axId val="417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voltage for 2fC p-type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"/>
          <c:w val="0.912"/>
          <c:h val="0.807"/>
        </c:manualLayout>
      </c:layout>
      <c:scatterChart>
        <c:scatterStyle val="smoothMarker"/>
        <c:varyColors val="0"/>
        <c:ser>
          <c:idx val="0"/>
          <c:order val="0"/>
          <c:tx>
            <c:v>voltage for 2fC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'[1]Summary2'!$A$20:$A$31</c:f>
              <c:numCache>
                <c:ptCount val="12"/>
                <c:pt idx="0">
                  <c:v>2.35</c:v>
                </c:pt>
                <c:pt idx="1">
                  <c:v>7.35</c:v>
                </c:pt>
                <c:pt idx="2">
                  <c:v>17.35</c:v>
                </c:pt>
                <c:pt idx="3">
                  <c:v>42.35</c:v>
                </c:pt>
                <c:pt idx="4">
                  <c:v>82.35</c:v>
                </c:pt>
                <c:pt idx="5">
                  <c:v>202.35</c:v>
                </c:pt>
                <c:pt idx="6">
                  <c:v>402.35</c:v>
                </c:pt>
                <c:pt idx="7">
                  <c:v>602.35</c:v>
                </c:pt>
                <c:pt idx="8">
                  <c:v>1002.35</c:v>
                </c:pt>
                <c:pt idx="9">
                  <c:v>2402.35</c:v>
                </c:pt>
                <c:pt idx="10">
                  <c:v>4982.35</c:v>
                </c:pt>
                <c:pt idx="11">
                  <c:v>11102.35</c:v>
                </c:pt>
              </c:numCache>
            </c:numRef>
          </c:xVal>
          <c:yVal>
            <c:numRef>
              <c:f>'[1]Summary2'!$B$20:$B$31</c:f>
              <c:numCache>
                <c:ptCount val="12"/>
                <c:pt idx="0">
                  <c:v>152.2</c:v>
                </c:pt>
                <c:pt idx="1">
                  <c:v>148.6</c:v>
                </c:pt>
                <c:pt idx="2">
                  <c:v>143.1</c:v>
                </c:pt>
                <c:pt idx="3">
                  <c:v>157.6</c:v>
                </c:pt>
                <c:pt idx="4">
                  <c:v>147.7</c:v>
                </c:pt>
                <c:pt idx="5">
                  <c:v>159.7</c:v>
                </c:pt>
                <c:pt idx="6">
                  <c:v>168.6</c:v>
                </c:pt>
                <c:pt idx="7">
                  <c:v>177.1</c:v>
                </c:pt>
                <c:pt idx="8">
                  <c:v>196.8</c:v>
                </c:pt>
                <c:pt idx="9">
                  <c:v>222.7</c:v>
                </c:pt>
                <c:pt idx="10">
                  <c:v>245.2</c:v>
                </c:pt>
                <c:pt idx="11">
                  <c:v>219.6</c:v>
                </c:pt>
              </c:numCache>
            </c:numRef>
          </c:yVal>
          <c:smooth val="1"/>
        </c:ser>
        <c:axId val="41037650"/>
        <c:axId val="33794531"/>
      </c:scatterChart>
      <c:valAx>
        <c:axId val="4103765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crossBetween val="midCat"/>
        <c:dispUnits/>
      </c:valAx>
      <c:valAx>
        <c:axId val="3379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275"/>
          <c:w val="0.897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anneal'!$A$142</c:f>
              <c:strCache>
                <c:ptCount val="1"/>
                <c:pt idx="0">
                  <c:v>Vrev = 450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anneal'!$B$146:$B$149</c:f>
              <c:numCache/>
            </c:numRef>
          </c:xVal>
          <c:yVal>
            <c:numRef>
              <c:f>'80 min anneal'!$G$146:$G$149</c:f>
              <c:numCache/>
            </c:numRef>
          </c:yVal>
          <c:smooth val="1"/>
        </c:ser>
        <c:axId val="37617652"/>
        <c:axId val="3014549"/>
      </c:scatterChart>
      <c:val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549"/>
        <c:crosses val="autoZero"/>
        <c:crossBetween val="midCat"/>
        <c:dispUnits/>
      </c:valAx>
      <c:valAx>
        <c:axId val="301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7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'80 min anneal'!$A$153</c:f>
              <c:strCache>
                <c:ptCount val="1"/>
                <c:pt idx="0">
                  <c:v>Vrev = 500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anneal'!$B$158:$B$160</c:f>
              <c:numCache/>
            </c:numRef>
          </c:xVal>
          <c:yVal>
            <c:numRef>
              <c:f>'80 min anneal'!$G$158:$G$160</c:f>
              <c:numCache/>
            </c:numRef>
          </c:yVal>
          <c:smooth val="0"/>
        </c:ser>
        <c:axId val="27130942"/>
        <c:axId val="42851887"/>
      </c:scatterChart>
      <c:val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1887"/>
        <c:crosses val="autoZero"/>
        <c:crossBetween val="midCat"/>
        <c:dispUnits/>
      </c:valAx>
      <c:valAx>
        <c:axId val="4285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975"/>
          <c:w val="0.886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anneal'!$A$175</c:f>
              <c:strCache>
                <c:ptCount val="1"/>
                <c:pt idx="0">
                  <c:v>Vrev =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anneal'!$B$179:$B$181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'80 min anneal'!$G$179:$G$181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0122664"/>
        <c:axId val="48450793"/>
      </c:scatterChart>
      <c:val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crossBetween val="midCat"/>
        <c:dispUnits/>
      </c:valAx>
      <c:valAx>
        <c:axId val="48450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22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6"/>
          <c:w val="0.8872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anneal'!$A$184</c:f>
              <c:strCache>
                <c:ptCount val="1"/>
                <c:pt idx="0">
                  <c:v>Vrev = 650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anneal'!$B$188:$B$191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'80 min anneal'!$G$188:$G$191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3403954"/>
        <c:axId val="32200131"/>
      </c:scatterChart>
      <c:val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00131"/>
        <c:crosses val="autoZero"/>
        <c:crossBetween val="midCat"/>
        <c:dispUnits/>
      </c:valAx>
      <c:valAx>
        <c:axId val="3220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175"/>
          <c:w val="0.88875"/>
          <c:h val="0.71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anneal'!$A$196</c:f>
              <c:strCache>
                <c:ptCount val="1"/>
                <c:pt idx="0">
                  <c:v>Vrev =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anneal'!$B$202:$B$203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'80 min anneal'!$G$202:$G$203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1365724"/>
        <c:axId val="58073789"/>
      </c:scatterChart>
      <c:val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3789"/>
        <c:crosses val="autoZero"/>
        <c:crossBetween val="midCat"/>
        <c:dispUnits/>
      </c:valAx>
      <c:valAx>
        <c:axId val="58073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8025"/>
          <c:w val="0.8845"/>
          <c:h val="0.7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 min anneal'!$A$165</c:f>
              <c:strCache>
                <c:ptCount val="1"/>
                <c:pt idx="0">
                  <c:v>Vrev = 550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 min anneal'!$B$170:$B$172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'80 min anneal'!$G$170:$G$172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2902054"/>
        <c:axId val="6356439"/>
      </c:scatterChart>
      <c:val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6439"/>
        <c:crosses val="autoZero"/>
        <c:crossBetween val="midCat"/>
        <c:dispUnits/>
      </c:valAx>
      <c:valAx>
        <c:axId val="6356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2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66-8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125"/>
          <c:w val="0.8825"/>
          <c:h val="0.80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Calibration!$E$11:$E$23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Calibration!$F$11:$F$23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7207952"/>
        <c:axId val="45109521"/>
      </c:scatterChart>
      <c:val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521"/>
        <c:crosses val="autoZero"/>
        <c:crossBetween val="midCat"/>
        <c:dispUnits/>
      </c:valAx>
      <c:val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07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Calibration!$I$7:$I$27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Calibration!$J$7:$J$27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Calibration!$I$7:$I$27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Calibration!$K$7:$K$27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332506"/>
        <c:axId val="29992555"/>
      </c:scatterChart>
      <c:val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2555"/>
        <c:crosses val="autoZero"/>
        <c:crossBetween val="midCat"/>
        <c:dispUnits/>
      </c:valAx>
      <c:valAx>
        <c:axId val="2999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2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115"/>
          <c:w val="0.8892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summary!$A$3:$A$8</c:f>
              <c:numCache>
                <c:ptCount val="6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130</c:v>
                </c:pt>
                <c:pt idx="5">
                  <c:v>160</c:v>
                </c:pt>
              </c:numCache>
            </c:numRef>
          </c:xVal>
          <c:yVal>
            <c:numRef>
              <c:f>summary!$B$3:$B$8</c:f>
              <c:numCache>
                <c:ptCount val="6"/>
                <c:pt idx="0">
                  <c:v>0.07237097160219996</c:v>
                </c:pt>
                <c:pt idx="1">
                  <c:v>0.18208907588301215</c:v>
                </c:pt>
                <c:pt idx="2">
                  <c:v>0.30705895721620075</c:v>
                </c:pt>
                <c:pt idx="3">
                  <c:v>0.45872837258153676</c:v>
                </c:pt>
                <c:pt idx="4">
                  <c:v>0.6256421600224592</c:v>
                </c:pt>
                <c:pt idx="5">
                  <c:v>0.7306568883454887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summary!$A$19:$A$30</c:f>
              <c:numCache>
                <c:ptCount val="12"/>
                <c:pt idx="0">
                  <c:v>60</c:v>
                </c:pt>
                <c:pt idx="1">
                  <c:v>80</c:v>
                </c:pt>
                <c:pt idx="2">
                  <c:v>100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</c:numCache>
            </c:numRef>
          </c:xVal>
          <c:yVal>
            <c:numRef>
              <c:f>summary!$B$19:$B$30</c:f>
              <c:numCache>
                <c:ptCount val="12"/>
                <c:pt idx="0">
                  <c:v>0.11453177847439917</c:v>
                </c:pt>
                <c:pt idx="1">
                  <c:v>0.22882422119565213</c:v>
                </c:pt>
                <c:pt idx="2">
                  <c:v>0.4227967482403898</c:v>
                </c:pt>
                <c:pt idx="3">
                  <c:v>0.630469285101822</c:v>
                </c:pt>
                <c:pt idx="4">
                  <c:v>0.7661666068424003</c:v>
                </c:pt>
                <c:pt idx="5">
                  <c:v>0.8366507147688839</c:v>
                </c:pt>
                <c:pt idx="6">
                  <c:v>0.8775003773584905</c:v>
                </c:pt>
                <c:pt idx="7">
                  <c:v>0.9205083661645423</c:v>
                </c:pt>
                <c:pt idx="8">
                  <c:v>0.9350417375565612</c:v>
                </c:pt>
                <c:pt idx="9">
                  <c:v>0.9195654736842106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summary!$A$32</c:f>
              <c:strCache>
                <c:ptCount val="1"/>
                <c:pt idx="0">
                  <c:v>10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summary!$A$34:$A$45</c:f>
              <c:numCache>
                <c:ptCount val="12"/>
                <c:pt idx="0">
                  <c:v>60</c:v>
                </c:pt>
                <c:pt idx="1">
                  <c:v>80</c:v>
                </c:pt>
                <c:pt idx="2">
                  <c:v>100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</c:numCache>
            </c:numRef>
          </c:xVal>
          <c:yVal>
            <c:numRef>
              <c:f>summary!$B$34:$B$45</c:f>
              <c:numCache>
                <c:ptCount val="12"/>
                <c:pt idx="0">
                  <c:v>0.15532344232698095</c:v>
                </c:pt>
                <c:pt idx="1">
                  <c:v>0.28603525899280574</c:v>
                </c:pt>
                <c:pt idx="2">
                  <c:v>0.4447022798353909</c:v>
                </c:pt>
                <c:pt idx="3">
                  <c:v>0.6752403732470335</c:v>
                </c:pt>
                <c:pt idx="4">
                  <c:v>0.7950102078189301</c:v>
                </c:pt>
                <c:pt idx="5">
                  <c:v>0.8426188144989338</c:v>
                </c:pt>
                <c:pt idx="6">
                  <c:v>0.919089152</c:v>
                </c:pt>
                <c:pt idx="7">
                  <c:v>0.9145205955734406</c:v>
                </c:pt>
                <c:pt idx="8">
                  <c:v>0.9281371991786448</c:v>
                </c:pt>
                <c:pt idx="9">
                  <c:v>0.9415954831013916</c:v>
                </c:pt>
                <c:pt idx="10">
                  <c:v>0.9837064298597193</c:v>
                </c:pt>
                <c:pt idx="11">
                  <c:v>0.9888412102335927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summary!$A$55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summary!$A$57:$A$68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summary!$B$57:$B$68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summary!$E$17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summary!$E$19:$E$30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summary!$F$19:$F$30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summary!$E$32</c:f>
              <c:strCache>
                <c:ptCount val="1"/>
                <c:pt idx="0">
                  <c:v>400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summary!$E$34:$E$45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summary!$F$34:$F$45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summary!$E$55</c:f>
              <c:strCache>
                <c:ptCount val="1"/>
                <c:pt idx="0">
                  <c:v>1000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summary!$E$59:$E$68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summary!$F$59:$F$68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summary!$I$36</c:f>
              <c:strCache>
                <c:ptCount val="1"/>
                <c:pt idx="0">
                  <c:v>2000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summary!$I$41:$I$57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summary!$J$41:$J$57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summary!$I$59</c:f>
              <c:strCache>
                <c:ptCount val="1"/>
                <c:pt idx="0">
                  <c:v>4000 min anneal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summary!$I$60:$I$68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summary!$J$60:$J$68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summary!$M$36</c:f>
              <c:strCache>
                <c:ptCount val="1"/>
                <c:pt idx="0">
                  <c:v>10000 min anneal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summary!$M$38:$M$53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5">
                  <c:v>0</c:v>
                </c:pt>
              </c:numCache>
            </c:numRef>
          </c:xVal>
          <c:yVal>
            <c:numRef>
              <c:f>summary!$N$38:$N$53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5715324"/>
        <c:axId val="53002461"/>
      </c:scatterChart>
      <c:valAx>
        <c:axId val="3571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crossBetween val="midCat"/>
        <c:dispUnits/>
      </c:valAx>
      <c:valAx>
        <c:axId val="5300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267"/>
          <c:w val="0.31075"/>
          <c:h val="0.7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975"/>
          <c:w val="0.896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'pre-anneal'!$A$30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'pre-anneal'!$B$33:$B$35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'pre-anneal'!$G$33:$G$35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7260102"/>
        <c:axId val="65340919"/>
      </c:scatterChart>
      <c:valAx>
        <c:axId val="726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crossBetween val="midCat"/>
        <c:dispUnits/>
      </c:valAx>
      <c:valAx>
        <c:axId val="6534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2"/>
          <c:w val="0.894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'pre-anneal'!$A$40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'pre-anneal'!$G$43:$G$49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1197360"/>
        <c:axId val="58123057"/>
      </c:scatterChart>
      <c:valAx>
        <c:axId val="51197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crossBetween val="midCat"/>
        <c:dispUnits/>
      </c:valAx>
      <c:valAx>
        <c:axId val="5812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'pre-anneal'!$A$51</c:f>
              <c:strCache>
                <c:ptCount val="1"/>
                <c:pt idx="0">
                  <c:v>Vrev = 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'pre-anneal'!$B$54:$B$60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'pre-anneal'!$G$54:$G$60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3345466"/>
        <c:axId val="10347147"/>
      </c:scatterChart>
      <c:valAx>
        <c:axId val="5334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47147"/>
        <c:crosses val="autoZero"/>
        <c:crossBetween val="midCat"/>
        <c:dispUnits/>
      </c:val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38100</xdr:rowOff>
    </xdr:from>
    <xdr:to>
      <xdr:col>15</xdr:col>
      <xdr:colOff>323850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14875" y="38100"/>
        <a:ext cx="4752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18</xdr:row>
      <xdr:rowOff>123825</xdr:rowOff>
    </xdr:from>
    <xdr:to>
      <xdr:col>15</xdr:col>
      <xdr:colOff>247650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4714875" y="3038475"/>
        <a:ext cx="46767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10</xdr:col>
      <xdr:colOff>561975</xdr:colOff>
      <xdr:row>16</xdr:row>
      <xdr:rowOff>38100</xdr:rowOff>
    </xdr:to>
    <xdr:graphicFrame>
      <xdr:nvGraphicFramePr>
        <xdr:cNvPr id="1" name="Chart 3"/>
        <xdr:cNvGraphicFramePr/>
      </xdr:nvGraphicFramePr>
      <xdr:xfrm>
        <a:off x="2667000" y="0"/>
        <a:ext cx="4171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16</xdr:row>
      <xdr:rowOff>38100</xdr:rowOff>
    </xdr:from>
    <xdr:to>
      <xdr:col>9</xdr:col>
      <xdr:colOff>390525</xdr:colOff>
      <xdr:row>31</xdr:row>
      <xdr:rowOff>76200</xdr:rowOff>
    </xdr:to>
    <xdr:graphicFrame>
      <xdr:nvGraphicFramePr>
        <xdr:cNvPr id="2" name="Chart 6"/>
        <xdr:cNvGraphicFramePr/>
      </xdr:nvGraphicFramePr>
      <xdr:xfrm>
        <a:off x="1895475" y="2628900"/>
        <a:ext cx="41624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21</xdr:row>
      <xdr:rowOff>57150</xdr:rowOff>
    </xdr:from>
    <xdr:to>
      <xdr:col>11</xdr:col>
      <xdr:colOff>485775</xdr:colOff>
      <xdr:row>39</xdr:row>
      <xdr:rowOff>38100</xdr:rowOff>
    </xdr:to>
    <xdr:graphicFrame>
      <xdr:nvGraphicFramePr>
        <xdr:cNvPr id="3" name="Chart 8"/>
        <xdr:cNvGraphicFramePr/>
      </xdr:nvGraphicFramePr>
      <xdr:xfrm>
        <a:off x="2943225" y="3457575"/>
        <a:ext cx="44291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514350</xdr:colOff>
      <xdr:row>22</xdr:row>
      <xdr:rowOff>76200</xdr:rowOff>
    </xdr:from>
    <xdr:to>
      <xdr:col>12</xdr:col>
      <xdr:colOff>323850</xdr:colOff>
      <xdr:row>39</xdr:row>
      <xdr:rowOff>9525</xdr:rowOff>
    </xdr:to>
    <xdr:graphicFrame>
      <xdr:nvGraphicFramePr>
        <xdr:cNvPr id="4" name="Chart 9"/>
        <xdr:cNvGraphicFramePr/>
      </xdr:nvGraphicFramePr>
      <xdr:xfrm>
        <a:off x="3133725" y="3638550"/>
        <a:ext cx="46863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25</xdr:row>
      <xdr:rowOff>0</xdr:rowOff>
    </xdr:from>
    <xdr:to>
      <xdr:col>12</xdr:col>
      <xdr:colOff>466725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4400550" y="4048125"/>
        <a:ext cx="3476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37</xdr:row>
      <xdr:rowOff>104775</xdr:rowOff>
    </xdr:from>
    <xdr:to>
      <xdr:col>12</xdr:col>
      <xdr:colOff>342900</xdr:colOff>
      <xdr:row>48</xdr:row>
      <xdr:rowOff>85725</xdr:rowOff>
    </xdr:to>
    <xdr:graphicFrame>
      <xdr:nvGraphicFramePr>
        <xdr:cNvPr id="2" name="Chart 14"/>
        <xdr:cNvGraphicFramePr/>
      </xdr:nvGraphicFramePr>
      <xdr:xfrm>
        <a:off x="4438650" y="6096000"/>
        <a:ext cx="33147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49</xdr:row>
      <xdr:rowOff>0</xdr:rowOff>
    </xdr:from>
    <xdr:to>
      <xdr:col>12</xdr:col>
      <xdr:colOff>457200</xdr:colOff>
      <xdr:row>60</xdr:row>
      <xdr:rowOff>114300</xdr:rowOff>
    </xdr:to>
    <xdr:graphicFrame>
      <xdr:nvGraphicFramePr>
        <xdr:cNvPr id="3" name="Chart 15"/>
        <xdr:cNvGraphicFramePr/>
      </xdr:nvGraphicFramePr>
      <xdr:xfrm>
        <a:off x="4476750" y="7934325"/>
        <a:ext cx="33909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60</xdr:row>
      <xdr:rowOff>152400</xdr:rowOff>
    </xdr:from>
    <xdr:to>
      <xdr:col>13</xdr:col>
      <xdr:colOff>85725</xdr:colOff>
      <xdr:row>76</xdr:row>
      <xdr:rowOff>9525</xdr:rowOff>
    </xdr:to>
    <xdr:graphicFrame>
      <xdr:nvGraphicFramePr>
        <xdr:cNvPr id="4" name="Chart 16"/>
        <xdr:cNvGraphicFramePr/>
      </xdr:nvGraphicFramePr>
      <xdr:xfrm>
        <a:off x="4400550" y="9867900"/>
        <a:ext cx="370522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75</xdr:row>
      <xdr:rowOff>66675</xdr:rowOff>
    </xdr:from>
    <xdr:to>
      <xdr:col>12</xdr:col>
      <xdr:colOff>552450</xdr:colOff>
      <xdr:row>90</xdr:row>
      <xdr:rowOff>85725</xdr:rowOff>
    </xdr:to>
    <xdr:graphicFrame>
      <xdr:nvGraphicFramePr>
        <xdr:cNvPr id="5" name="Chart 17"/>
        <xdr:cNvGraphicFramePr/>
      </xdr:nvGraphicFramePr>
      <xdr:xfrm>
        <a:off x="4391025" y="12211050"/>
        <a:ext cx="35718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114300</xdr:colOff>
      <xdr:row>91</xdr:row>
      <xdr:rowOff>9525</xdr:rowOff>
    </xdr:from>
    <xdr:to>
      <xdr:col>12</xdr:col>
      <xdr:colOff>323850</xdr:colOff>
      <xdr:row>105</xdr:row>
      <xdr:rowOff>85725</xdr:rowOff>
    </xdr:to>
    <xdr:graphicFrame>
      <xdr:nvGraphicFramePr>
        <xdr:cNvPr id="6" name="Chart 18"/>
        <xdr:cNvGraphicFramePr/>
      </xdr:nvGraphicFramePr>
      <xdr:xfrm>
        <a:off x="4457700" y="14744700"/>
        <a:ext cx="32766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106</xdr:row>
      <xdr:rowOff>114300</xdr:rowOff>
    </xdr:from>
    <xdr:to>
      <xdr:col>12</xdr:col>
      <xdr:colOff>152400</xdr:colOff>
      <xdr:row>121</xdr:row>
      <xdr:rowOff>38100</xdr:rowOff>
    </xdr:to>
    <xdr:graphicFrame>
      <xdr:nvGraphicFramePr>
        <xdr:cNvPr id="7" name="Chart 19"/>
        <xdr:cNvGraphicFramePr/>
      </xdr:nvGraphicFramePr>
      <xdr:xfrm>
        <a:off x="4524375" y="17278350"/>
        <a:ext cx="3038475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38100</xdr:colOff>
      <xdr:row>120</xdr:row>
      <xdr:rowOff>114300</xdr:rowOff>
    </xdr:from>
    <xdr:to>
      <xdr:col>12</xdr:col>
      <xdr:colOff>371475</xdr:colOff>
      <xdr:row>133</xdr:row>
      <xdr:rowOff>66675</xdr:rowOff>
    </xdr:to>
    <xdr:graphicFrame>
      <xdr:nvGraphicFramePr>
        <xdr:cNvPr id="8" name="Chart 20"/>
        <xdr:cNvGraphicFramePr/>
      </xdr:nvGraphicFramePr>
      <xdr:xfrm>
        <a:off x="4381500" y="19545300"/>
        <a:ext cx="3400425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133</xdr:row>
      <xdr:rowOff>85725</xdr:rowOff>
    </xdr:from>
    <xdr:to>
      <xdr:col>12</xdr:col>
      <xdr:colOff>304800</xdr:colOff>
      <xdr:row>144</xdr:row>
      <xdr:rowOff>133350</xdr:rowOff>
    </xdr:to>
    <xdr:graphicFrame>
      <xdr:nvGraphicFramePr>
        <xdr:cNvPr id="9" name="Chart 21"/>
        <xdr:cNvGraphicFramePr/>
      </xdr:nvGraphicFramePr>
      <xdr:xfrm>
        <a:off x="4552950" y="21621750"/>
        <a:ext cx="3162300" cy="182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144</xdr:row>
      <xdr:rowOff>47625</xdr:rowOff>
    </xdr:from>
    <xdr:to>
      <xdr:col>12</xdr:col>
      <xdr:colOff>180975</xdr:colOff>
      <xdr:row>156</xdr:row>
      <xdr:rowOff>104775</xdr:rowOff>
    </xdr:to>
    <xdr:graphicFrame>
      <xdr:nvGraphicFramePr>
        <xdr:cNvPr id="10" name="Chart 22"/>
        <xdr:cNvGraphicFramePr/>
      </xdr:nvGraphicFramePr>
      <xdr:xfrm>
        <a:off x="4352925" y="23364825"/>
        <a:ext cx="323850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31</xdr:row>
      <xdr:rowOff>142875</xdr:rowOff>
    </xdr:from>
    <xdr:to>
      <xdr:col>12</xdr:col>
      <xdr:colOff>342900</xdr:colOff>
      <xdr:row>44</xdr:row>
      <xdr:rowOff>85725</xdr:rowOff>
    </xdr:to>
    <xdr:graphicFrame>
      <xdr:nvGraphicFramePr>
        <xdr:cNvPr id="1" name="Chart 2"/>
        <xdr:cNvGraphicFramePr/>
      </xdr:nvGraphicFramePr>
      <xdr:xfrm>
        <a:off x="4438650" y="5162550"/>
        <a:ext cx="33147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45</xdr:row>
      <xdr:rowOff>0</xdr:rowOff>
    </xdr:from>
    <xdr:to>
      <xdr:col>12</xdr:col>
      <xdr:colOff>457200</xdr:colOff>
      <xdr:row>56</xdr:row>
      <xdr:rowOff>114300</xdr:rowOff>
    </xdr:to>
    <xdr:graphicFrame>
      <xdr:nvGraphicFramePr>
        <xdr:cNvPr id="2" name="Chart 3"/>
        <xdr:cNvGraphicFramePr/>
      </xdr:nvGraphicFramePr>
      <xdr:xfrm>
        <a:off x="4476750" y="7286625"/>
        <a:ext cx="33909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56</xdr:row>
      <xdr:rowOff>152400</xdr:rowOff>
    </xdr:from>
    <xdr:to>
      <xdr:col>13</xdr:col>
      <xdr:colOff>85725</xdr:colOff>
      <xdr:row>72</xdr:row>
      <xdr:rowOff>9525</xdr:rowOff>
    </xdr:to>
    <xdr:graphicFrame>
      <xdr:nvGraphicFramePr>
        <xdr:cNvPr id="3" name="Chart 4"/>
        <xdr:cNvGraphicFramePr/>
      </xdr:nvGraphicFramePr>
      <xdr:xfrm>
        <a:off x="4400550" y="9220200"/>
        <a:ext cx="3705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71</xdr:row>
      <xdr:rowOff>66675</xdr:rowOff>
    </xdr:from>
    <xdr:to>
      <xdr:col>12</xdr:col>
      <xdr:colOff>552450</xdr:colOff>
      <xdr:row>86</xdr:row>
      <xdr:rowOff>85725</xdr:rowOff>
    </xdr:to>
    <xdr:graphicFrame>
      <xdr:nvGraphicFramePr>
        <xdr:cNvPr id="4" name="Chart 5"/>
        <xdr:cNvGraphicFramePr/>
      </xdr:nvGraphicFramePr>
      <xdr:xfrm>
        <a:off x="4391025" y="11563350"/>
        <a:ext cx="35718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87</xdr:row>
      <xdr:rowOff>9525</xdr:rowOff>
    </xdr:from>
    <xdr:to>
      <xdr:col>12</xdr:col>
      <xdr:colOff>323850</xdr:colOff>
      <xdr:row>101</xdr:row>
      <xdr:rowOff>85725</xdr:rowOff>
    </xdr:to>
    <xdr:graphicFrame>
      <xdr:nvGraphicFramePr>
        <xdr:cNvPr id="5" name="Chart 6"/>
        <xdr:cNvGraphicFramePr/>
      </xdr:nvGraphicFramePr>
      <xdr:xfrm>
        <a:off x="4457700" y="14097000"/>
        <a:ext cx="32766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180975</xdr:colOff>
      <xdr:row>102</xdr:row>
      <xdr:rowOff>114300</xdr:rowOff>
    </xdr:from>
    <xdr:to>
      <xdr:col>12</xdr:col>
      <xdr:colOff>152400</xdr:colOff>
      <xdr:row>116</xdr:row>
      <xdr:rowOff>38100</xdr:rowOff>
    </xdr:to>
    <xdr:graphicFrame>
      <xdr:nvGraphicFramePr>
        <xdr:cNvPr id="6" name="Chart 7"/>
        <xdr:cNvGraphicFramePr/>
      </xdr:nvGraphicFramePr>
      <xdr:xfrm>
        <a:off x="4524375" y="16630650"/>
        <a:ext cx="30384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115</xdr:row>
      <xdr:rowOff>114300</xdr:rowOff>
    </xdr:from>
    <xdr:to>
      <xdr:col>12</xdr:col>
      <xdr:colOff>371475</xdr:colOff>
      <xdr:row>128</xdr:row>
      <xdr:rowOff>66675</xdr:rowOff>
    </xdr:to>
    <xdr:graphicFrame>
      <xdr:nvGraphicFramePr>
        <xdr:cNvPr id="7" name="Chart 8"/>
        <xdr:cNvGraphicFramePr/>
      </xdr:nvGraphicFramePr>
      <xdr:xfrm>
        <a:off x="4381500" y="18735675"/>
        <a:ext cx="34004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209550</xdr:colOff>
      <xdr:row>128</xdr:row>
      <xdr:rowOff>85725</xdr:rowOff>
    </xdr:from>
    <xdr:to>
      <xdr:col>12</xdr:col>
      <xdr:colOff>304800</xdr:colOff>
      <xdr:row>139</xdr:row>
      <xdr:rowOff>133350</xdr:rowOff>
    </xdr:to>
    <xdr:graphicFrame>
      <xdr:nvGraphicFramePr>
        <xdr:cNvPr id="8" name="Chart 9"/>
        <xdr:cNvGraphicFramePr/>
      </xdr:nvGraphicFramePr>
      <xdr:xfrm>
        <a:off x="4552950" y="20812125"/>
        <a:ext cx="3162300" cy="1828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140</xdr:row>
      <xdr:rowOff>19050</xdr:rowOff>
    </xdr:from>
    <xdr:to>
      <xdr:col>12</xdr:col>
      <xdr:colOff>123825</xdr:colOff>
      <xdr:row>151</xdr:row>
      <xdr:rowOff>38100</xdr:rowOff>
    </xdr:to>
    <xdr:graphicFrame>
      <xdr:nvGraphicFramePr>
        <xdr:cNvPr id="9" name="Chart 10"/>
        <xdr:cNvGraphicFramePr/>
      </xdr:nvGraphicFramePr>
      <xdr:xfrm>
        <a:off x="4438650" y="22688550"/>
        <a:ext cx="3095625" cy="1800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104775</xdr:colOff>
      <xdr:row>122</xdr:row>
      <xdr:rowOff>104775</xdr:rowOff>
    </xdr:from>
    <xdr:to>
      <xdr:col>13</xdr:col>
      <xdr:colOff>447675</xdr:colOff>
      <xdr:row>135</xdr:row>
      <xdr:rowOff>57150</xdr:rowOff>
    </xdr:to>
    <xdr:graphicFrame>
      <xdr:nvGraphicFramePr>
        <xdr:cNvPr id="10" name="Chart 11"/>
        <xdr:cNvGraphicFramePr/>
      </xdr:nvGraphicFramePr>
      <xdr:xfrm>
        <a:off x="5057775" y="19859625"/>
        <a:ext cx="340995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85725</xdr:colOff>
      <xdr:row>151</xdr:row>
      <xdr:rowOff>85725</xdr:rowOff>
    </xdr:from>
    <xdr:to>
      <xdr:col>12</xdr:col>
      <xdr:colOff>161925</xdr:colOff>
      <xdr:row>163</xdr:row>
      <xdr:rowOff>85725</xdr:rowOff>
    </xdr:to>
    <xdr:graphicFrame>
      <xdr:nvGraphicFramePr>
        <xdr:cNvPr id="11" name="Chart 12"/>
        <xdr:cNvGraphicFramePr/>
      </xdr:nvGraphicFramePr>
      <xdr:xfrm>
        <a:off x="4429125" y="24536400"/>
        <a:ext cx="3143250" cy="1943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31</xdr:row>
      <xdr:rowOff>142875</xdr:rowOff>
    </xdr:from>
    <xdr:to>
      <xdr:col>12</xdr:col>
      <xdr:colOff>342900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4438650" y="5162550"/>
        <a:ext cx="33147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45</xdr:row>
      <xdr:rowOff>0</xdr:rowOff>
    </xdr:from>
    <xdr:to>
      <xdr:col>12</xdr:col>
      <xdr:colOff>457200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4476750" y="7286625"/>
        <a:ext cx="33909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56</xdr:row>
      <xdr:rowOff>152400</xdr:rowOff>
    </xdr:from>
    <xdr:to>
      <xdr:col>13</xdr:col>
      <xdr:colOff>85725</xdr:colOff>
      <xdr:row>72</xdr:row>
      <xdr:rowOff>9525</xdr:rowOff>
    </xdr:to>
    <xdr:graphicFrame>
      <xdr:nvGraphicFramePr>
        <xdr:cNvPr id="3" name="Chart 3"/>
        <xdr:cNvGraphicFramePr/>
      </xdr:nvGraphicFramePr>
      <xdr:xfrm>
        <a:off x="4400550" y="9220200"/>
        <a:ext cx="3705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71</xdr:row>
      <xdr:rowOff>66675</xdr:rowOff>
    </xdr:from>
    <xdr:to>
      <xdr:col>12</xdr:col>
      <xdr:colOff>552450</xdr:colOff>
      <xdr:row>86</xdr:row>
      <xdr:rowOff>85725</xdr:rowOff>
    </xdr:to>
    <xdr:graphicFrame>
      <xdr:nvGraphicFramePr>
        <xdr:cNvPr id="4" name="Chart 4"/>
        <xdr:cNvGraphicFramePr/>
      </xdr:nvGraphicFramePr>
      <xdr:xfrm>
        <a:off x="4391025" y="11563350"/>
        <a:ext cx="35718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87</xdr:row>
      <xdr:rowOff>9525</xdr:rowOff>
    </xdr:from>
    <xdr:to>
      <xdr:col>12</xdr:col>
      <xdr:colOff>323850</xdr:colOff>
      <xdr:row>100</xdr:row>
      <xdr:rowOff>19050</xdr:rowOff>
    </xdr:to>
    <xdr:graphicFrame>
      <xdr:nvGraphicFramePr>
        <xdr:cNvPr id="5" name="Chart 5"/>
        <xdr:cNvGraphicFramePr/>
      </xdr:nvGraphicFramePr>
      <xdr:xfrm>
        <a:off x="4457700" y="14097000"/>
        <a:ext cx="32766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</xdr:colOff>
      <xdr:row>102</xdr:row>
      <xdr:rowOff>104775</xdr:rowOff>
    </xdr:from>
    <xdr:to>
      <xdr:col>12</xdr:col>
      <xdr:colOff>352425</xdr:colOff>
      <xdr:row>115</xdr:row>
      <xdr:rowOff>76200</xdr:rowOff>
    </xdr:to>
    <xdr:graphicFrame>
      <xdr:nvGraphicFramePr>
        <xdr:cNvPr id="6" name="Chart 6"/>
        <xdr:cNvGraphicFramePr/>
      </xdr:nvGraphicFramePr>
      <xdr:xfrm>
        <a:off x="4391025" y="16621125"/>
        <a:ext cx="33718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115</xdr:row>
      <xdr:rowOff>114300</xdr:rowOff>
    </xdr:from>
    <xdr:to>
      <xdr:col>12</xdr:col>
      <xdr:colOff>371475</xdr:colOff>
      <xdr:row>128</xdr:row>
      <xdr:rowOff>66675</xdr:rowOff>
    </xdr:to>
    <xdr:graphicFrame>
      <xdr:nvGraphicFramePr>
        <xdr:cNvPr id="7" name="Chart 7"/>
        <xdr:cNvGraphicFramePr/>
      </xdr:nvGraphicFramePr>
      <xdr:xfrm>
        <a:off x="4381500" y="18735675"/>
        <a:ext cx="34004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209550</xdr:colOff>
      <xdr:row>128</xdr:row>
      <xdr:rowOff>85725</xdr:rowOff>
    </xdr:from>
    <xdr:to>
      <xdr:col>12</xdr:col>
      <xdr:colOff>304800</xdr:colOff>
      <xdr:row>141</xdr:row>
      <xdr:rowOff>47625</xdr:rowOff>
    </xdr:to>
    <xdr:graphicFrame>
      <xdr:nvGraphicFramePr>
        <xdr:cNvPr id="8" name="Chart 8"/>
        <xdr:cNvGraphicFramePr/>
      </xdr:nvGraphicFramePr>
      <xdr:xfrm>
        <a:off x="4552950" y="20812125"/>
        <a:ext cx="3162300" cy="2066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141</xdr:row>
      <xdr:rowOff>0</xdr:rowOff>
    </xdr:from>
    <xdr:to>
      <xdr:col>12</xdr:col>
      <xdr:colOff>57150</xdr:colOff>
      <xdr:row>151</xdr:row>
      <xdr:rowOff>114300</xdr:rowOff>
    </xdr:to>
    <xdr:graphicFrame>
      <xdr:nvGraphicFramePr>
        <xdr:cNvPr id="9" name="Chart 9"/>
        <xdr:cNvGraphicFramePr/>
      </xdr:nvGraphicFramePr>
      <xdr:xfrm>
        <a:off x="4381500" y="22831425"/>
        <a:ext cx="3086100" cy="1733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151</xdr:row>
      <xdr:rowOff>104775</xdr:rowOff>
    </xdr:from>
    <xdr:to>
      <xdr:col>12</xdr:col>
      <xdr:colOff>76200</xdr:colOff>
      <xdr:row>163</xdr:row>
      <xdr:rowOff>104775</xdr:rowOff>
    </xdr:to>
    <xdr:graphicFrame>
      <xdr:nvGraphicFramePr>
        <xdr:cNvPr id="10" name="Chart 11"/>
        <xdr:cNvGraphicFramePr/>
      </xdr:nvGraphicFramePr>
      <xdr:xfrm>
        <a:off x="4343400" y="24555450"/>
        <a:ext cx="3143250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76200</xdr:colOff>
      <xdr:row>172</xdr:row>
      <xdr:rowOff>123825</xdr:rowOff>
    </xdr:from>
    <xdr:to>
      <xdr:col>12</xdr:col>
      <xdr:colOff>161925</xdr:colOff>
      <xdr:row>185</xdr:row>
      <xdr:rowOff>19050</xdr:rowOff>
    </xdr:to>
    <xdr:graphicFrame>
      <xdr:nvGraphicFramePr>
        <xdr:cNvPr id="11" name="Chart 12"/>
        <xdr:cNvGraphicFramePr/>
      </xdr:nvGraphicFramePr>
      <xdr:xfrm>
        <a:off x="4419600" y="27974925"/>
        <a:ext cx="3152775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47625</xdr:colOff>
      <xdr:row>184</xdr:row>
      <xdr:rowOff>19050</xdr:rowOff>
    </xdr:from>
    <xdr:to>
      <xdr:col>12</xdr:col>
      <xdr:colOff>104775</xdr:colOff>
      <xdr:row>196</xdr:row>
      <xdr:rowOff>19050</xdr:rowOff>
    </xdr:to>
    <xdr:graphicFrame>
      <xdr:nvGraphicFramePr>
        <xdr:cNvPr id="12" name="Chart 13"/>
        <xdr:cNvGraphicFramePr/>
      </xdr:nvGraphicFramePr>
      <xdr:xfrm>
        <a:off x="4391025" y="29813250"/>
        <a:ext cx="31242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38100</xdr:colOff>
      <xdr:row>196</xdr:row>
      <xdr:rowOff>85725</xdr:rowOff>
    </xdr:from>
    <xdr:to>
      <xdr:col>12</xdr:col>
      <xdr:colOff>123825</xdr:colOff>
      <xdr:row>208</xdr:row>
      <xdr:rowOff>19050</xdr:rowOff>
    </xdr:to>
    <xdr:graphicFrame>
      <xdr:nvGraphicFramePr>
        <xdr:cNvPr id="13" name="Chart 14"/>
        <xdr:cNvGraphicFramePr/>
      </xdr:nvGraphicFramePr>
      <xdr:xfrm>
        <a:off x="4381500" y="31823025"/>
        <a:ext cx="3152775" cy="1876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57150</xdr:colOff>
      <xdr:row>163</xdr:row>
      <xdr:rowOff>19050</xdr:rowOff>
    </xdr:from>
    <xdr:to>
      <xdr:col>12</xdr:col>
      <xdr:colOff>114300</xdr:colOff>
      <xdr:row>174</xdr:row>
      <xdr:rowOff>133350</xdr:rowOff>
    </xdr:to>
    <xdr:graphicFrame>
      <xdr:nvGraphicFramePr>
        <xdr:cNvPr id="14" name="Chart 15"/>
        <xdr:cNvGraphicFramePr/>
      </xdr:nvGraphicFramePr>
      <xdr:xfrm>
        <a:off x="4400550" y="26412825"/>
        <a:ext cx="3124200" cy="1895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31</xdr:row>
      <xdr:rowOff>142875</xdr:rowOff>
    </xdr:from>
    <xdr:to>
      <xdr:col>12</xdr:col>
      <xdr:colOff>342900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4438650" y="5162550"/>
        <a:ext cx="33147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45</xdr:row>
      <xdr:rowOff>0</xdr:rowOff>
    </xdr:from>
    <xdr:to>
      <xdr:col>12</xdr:col>
      <xdr:colOff>457200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4476750" y="7286625"/>
        <a:ext cx="33909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56</xdr:row>
      <xdr:rowOff>152400</xdr:rowOff>
    </xdr:from>
    <xdr:to>
      <xdr:col>13</xdr:col>
      <xdr:colOff>85725</xdr:colOff>
      <xdr:row>72</xdr:row>
      <xdr:rowOff>9525</xdr:rowOff>
    </xdr:to>
    <xdr:graphicFrame>
      <xdr:nvGraphicFramePr>
        <xdr:cNvPr id="3" name="Chart 3"/>
        <xdr:cNvGraphicFramePr/>
      </xdr:nvGraphicFramePr>
      <xdr:xfrm>
        <a:off x="4400550" y="9220200"/>
        <a:ext cx="3705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71</xdr:row>
      <xdr:rowOff>66675</xdr:rowOff>
    </xdr:from>
    <xdr:to>
      <xdr:col>12</xdr:col>
      <xdr:colOff>552450</xdr:colOff>
      <xdr:row>86</xdr:row>
      <xdr:rowOff>85725</xdr:rowOff>
    </xdr:to>
    <xdr:graphicFrame>
      <xdr:nvGraphicFramePr>
        <xdr:cNvPr id="4" name="Chart 4"/>
        <xdr:cNvGraphicFramePr/>
      </xdr:nvGraphicFramePr>
      <xdr:xfrm>
        <a:off x="4391025" y="11563350"/>
        <a:ext cx="35718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87</xdr:row>
      <xdr:rowOff>9525</xdr:rowOff>
    </xdr:from>
    <xdr:to>
      <xdr:col>12</xdr:col>
      <xdr:colOff>323850</xdr:colOff>
      <xdr:row>100</xdr:row>
      <xdr:rowOff>19050</xdr:rowOff>
    </xdr:to>
    <xdr:graphicFrame>
      <xdr:nvGraphicFramePr>
        <xdr:cNvPr id="5" name="Chart 5"/>
        <xdr:cNvGraphicFramePr/>
      </xdr:nvGraphicFramePr>
      <xdr:xfrm>
        <a:off x="4457700" y="14097000"/>
        <a:ext cx="32766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</xdr:colOff>
      <xdr:row>102</xdr:row>
      <xdr:rowOff>104775</xdr:rowOff>
    </xdr:from>
    <xdr:to>
      <xdr:col>12</xdr:col>
      <xdr:colOff>352425</xdr:colOff>
      <xdr:row>115</xdr:row>
      <xdr:rowOff>76200</xdr:rowOff>
    </xdr:to>
    <xdr:graphicFrame>
      <xdr:nvGraphicFramePr>
        <xdr:cNvPr id="6" name="Chart 6"/>
        <xdr:cNvGraphicFramePr/>
      </xdr:nvGraphicFramePr>
      <xdr:xfrm>
        <a:off x="4391025" y="16621125"/>
        <a:ext cx="33718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115</xdr:row>
      <xdr:rowOff>114300</xdr:rowOff>
    </xdr:from>
    <xdr:to>
      <xdr:col>12</xdr:col>
      <xdr:colOff>371475</xdr:colOff>
      <xdr:row>128</xdr:row>
      <xdr:rowOff>66675</xdr:rowOff>
    </xdr:to>
    <xdr:graphicFrame>
      <xdr:nvGraphicFramePr>
        <xdr:cNvPr id="7" name="Chart 7"/>
        <xdr:cNvGraphicFramePr/>
      </xdr:nvGraphicFramePr>
      <xdr:xfrm>
        <a:off x="4381500" y="18735675"/>
        <a:ext cx="34004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209550</xdr:colOff>
      <xdr:row>128</xdr:row>
      <xdr:rowOff>85725</xdr:rowOff>
    </xdr:from>
    <xdr:to>
      <xdr:col>12</xdr:col>
      <xdr:colOff>304800</xdr:colOff>
      <xdr:row>141</xdr:row>
      <xdr:rowOff>47625</xdr:rowOff>
    </xdr:to>
    <xdr:graphicFrame>
      <xdr:nvGraphicFramePr>
        <xdr:cNvPr id="8" name="Chart 8"/>
        <xdr:cNvGraphicFramePr/>
      </xdr:nvGraphicFramePr>
      <xdr:xfrm>
        <a:off x="4552950" y="20812125"/>
        <a:ext cx="3162300" cy="2066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141</xdr:row>
      <xdr:rowOff>0</xdr:rowOff>
    </xdr:from>
    <xdr:to>
      <xdr:col>12</xdr:col>
      <xdr:colOff>57150</xdr:colOff>
      <xdr:row>151</xdr:row>
      <xdr:rowOff>114300</xdr:rowOff>
    </xdr:to>
    <xdr:graphicFrame>
      <xdr:nvGraphicFramePr>
        <xdr:cNvPr id="9" name="Chart 9"/>
        <xdr:cNvGraphicFramePr/>
      </xdr:nvGraphicFramePr>
      <xdr:xfrm>
        <a:off x="4381500" y="22831425"/>
        <a:ext cx="3086100" cy="1733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151</xdr:row>
      <xdr:rowOff>104775</xdr:rowOff>
    </xdr:from>
    <xdr:to>
      <xdr:col>12</xdr:col>
      <xdr:colOff>76200</xdr:colOff>
      <xdr:row>163</xdr:row>
      <xdr:rowOff>104775</xdr:rowOff>
    </xdr:to>
    <xdr:graphicFrame>
      <xdr:nvGraphicFramePr>
        <xdr:cNvPr id="10" name="Chart 10"/>
        <xdr:cNvGraphicFramePr/>
      </xdr:nvGraphicFramePr>
      <xdr:xfrm>
        <a:off x="4343400" y="24555450"/>
        <a:ext cx="3143250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76200</xdr:colOff>
      <xdr:row>172</xdr:row>
      <xdr:rowOff>123825</xdr:rowOff>
    </xdr:from>
    <xdr:to>
      <xdr:col>12</xdr:col>
      <xdr:colOff>161925</xdr:colOff>
      <xdr:row>185</xdr:row>
      <xdr:rowOff>19050</xdr:rowOff>
    </xdr:to>
    <xdr:graphicFrame>
      <xdr:nvGraphicFramePr>
        <xdr:cNvPr id="11" name="Chart 11"/>
        <xdr:cNvGraphicFramePr/>
      </xdr:nvGraphicFramePr>
      <xdr:xfrm>
        <a:off x="4419600" y="27974925"/>
        <a:ext cx="3152775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47625</xdr:colOff>
      <xdr:row>184</xdr:row>
      <xdr:rowOff>19050</xdr:rowOff>
    </xdr:from>
    <xdr:to>
      <xdr:col>12</xdr:col>
      <xdr:colOff>104775</xdr:colOff>
      <xdr:row>196</xdr:row>
      <xdr:rowOff>19050</xdr:rowOff>
    </xdr:to>
    <xdr:graphicFrame>
      <xdr:nvGraphicFramePr>
        <xdr:cNvPr id="12" name="Chart 12"/>
        <xdr:cNvGraphicFramePr/>
      </xdr:nvGraphicFramePr>
      <xdr:xfrm>
        <a:off x="4391025" y="29813250"/>
        <a:ext cx="31242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38100</xdr:colOff>
      <xdr:row>196</xdr:row>
      <xdr:rowOff>85725</xdr:rowOff>
    </xdr:from>
    <xdr:to>
      <xdr:col>12</xdr:col>
      <xdr:colOff>123825</xdr:colOff>
      <xdr:row>208</xdr:row>
      <xdr:rowOff>19050</xdr:rowOff>
    </xdr:to>
    <xdr:graphicFrame>
      <xdr:nvGraphicFramePr>
        <xdr:cNvPr id="13" name="Chart 13"/>
        <xdr:cNvGraphicFramePr/>
      </xdr:nvGraphicFramePr>
      <xdr:xfrm>
        <a:off x="4381500" y="31823025"/>
        <a:ext cx="3152775" cy="1876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57150</xdr:colOff>
      <xdr:row>163</xdr:row>
      <xdr:rowOff>19050</xdr:rowOff>
    </xdr:from>
    <xdr:to>
      <xdr:col>12</xdr:col>
      <xdr:colOff>114300</xdr:colOff>
      <xdr:row>174</xdr:row>
      <xdr:rowOff>133350</xdr:rowOff>
    </xdr:to>
    <xdr:graphicFrame>
      <xdr:nvGraphicFramePr>
        <xdr:cNvPr id="14" name="Chart 14"/>
        <xdr:cNvGraphicFramePr/>
      </xdr:nvGraphicFramePr>
      <xdr:xfrm>
        <a:off x="4400550" y="26412825"/>
        <a:ext cx="3124200" cy="1895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13</xdr:row>
      <xdr:rowOff>152400</xdr:rowOff>
    </xdr:from>
    <xdr:to>
      <xdr:col>7</xdr:col>
      <xdr:colOff>333375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123950" y="2257425"/>
        <a:ext cx="34766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13</xdr:row>
      <xdr:rowOff>76200</xdr:rowOff>
    </xdr:from>
    <xdr:to>
      <xdr:col>10</xdr:col>
      <xdr:colOff>228600</xdr:colOff>
      <xdr:row>28</xdr:row>
      <xdr:rowOff>95250</xdr:rowOff>
    </xdr:to>
    <xdr:graphicFrame>
      <xdr:nvGraphicFramePr>
        <xdr:cNvPr id="2" name="Chart 3"/>
        <xdr:cNvGraphicFramePr/>
      </xdr:nvGraphicFramePr>
      <xdr:xfrm>
        <a:off x="2133600" y="2181225"/>
        <a:ext cx="4191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legans\c$\MyProjects\ptsm_one\Monica\253_4\cce\253_eff_vs_thresh_master_1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2"/>
      <sheetName val="pre-anneal fixed"/>
      <sheetName val="5 min anneal fixed"/>
      <sheetName val="15min anneal fixed"/>
      <sheetName val="40min anneal fixed"/>
      <sheetName val="80min anneal fixed"/>
      <sheetName val="200min anneal fixed"/>
      <sheetName val="400 min anneal fixed"/>
      <sheetName val="600min anneal fixed"/>
      <sheetName val="1000min anneal fixed"/>
      <sheetName val="40hours anneal fixed"/>
      <sheetName val="83 hours anneal fixed"/>
      <sheetName val="11100 min anneal fixed"/>
      <sheetName val="Calibration"/>
    </sheetNames>
    <sheetDataSet>
      <sheetData sheetId="1">
        <row r="20">
          <cell r="A20">
            <v>2.35</v>
          </cell>
          <cell r="B20">
            <v>152.2</v>
          </cell>
        </row>
        <row r="21">
          <cell r="A21">
            <v>7.35</v>
          </cell>
          <cell r="B21">
            <v>148.6</v>
          </cell>
        </row>
        <row r="22">
          <cell r="A22">
            <v>17.35</v>
          </cell>
          <cell r="B22">
            <v>143.1</v>
          </cell>
        </row>
        <row r="23">
          <cell r="A23">
            <v>42.35</v>
          </cell>
          <cell r="B23">
            <v>157.6</v>
          </cell>
        </row>
        <row r="24">
          <cell r="A24">
            <v>82.35</v>
          </cell>
          <cell r="B24">
            <v>147.7</v>
          </cell>
        </row>
        <row r="25">
          <cell r="A25">
            <v>202.35</v>
          </cell>
          <cell r="B25">
            <v>159.7</v>
          </cell>
        </row>
        <row r="26">
          <cell r="A26">
            <v>402.35</v>
          </cell>
          <cell r="B26">
            <v>168.6</v>
          </cell>
        </row>
        <row r="27">
          <cell r="A27">
            <v>602.35</v>
          </cell>
          <cell r="B27">
            <v>177.1</v>
          </cell>
        </row>
        <row r="28">
          <cell r="A28">
            <v>1002.35</v>
          </cell>
          <cell r="B28">
            <v>196.8</v>
          </cell>
        </row>
        <row r="29">
          <cell r="A29">
            <v>2402.35</v>
          </cell>
          <cell r="B29">
            <v>222.7</v>
          </cell>
        </row>
        <row r="30">
          <cell r="A30">
            <v>4982.35</v>
          </cell>
          <cell r="B30">
            <v>245.2</v>
          </cell>
        </row>
        <row r="31">
          <cell r="A31">
            <v>11102.35</v>
          </cell>
          <cell r="B31">
            <v>219.6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E1">
      <selection activeCell="C29" sqref="C29"/>
    </sheetView>
  </sheetViews>
  <sheetFormatPr defaultColWidth="9.140625" defaultRowHeight="12.75"/>
  <sheetData>
    <row r="1" spans="1:5" ht="12.75">
      <c r="A1" t="s">
        <v>13</v>
      </c>
      <c r="E1" t="s">
        <v>25</v>
      </c>
    </row>
    <row r="2" spans="1:7" ht="12.75">
      <c r="A2" t="str">
        <f>'pre-anneal'!L1</f>
        <v>Voltage </v>
      </c>
      <c r="B2" t="str">
        <f>'pre-anneal'!M1</f>
        <v>eff at 1fC</v>
      </c>
      <c r="C2" t="str">
        <f>'pre-anneal'!N1</f>
        <v>med Q</v>
      </c>
      <c r="E2" t="e">
        <f>#REF!</f>
        <v>#REF!</v>
      </c>
      <c r="F2" t="e">
        <f>#REF!</f>
        <v>#REF!</v>
      </c>
      <c r="G2" t="e">
        <f>#REF!</f>
        <v>#REF!</v>
      </c>
    </row>
    <row r="3" spans="1:7" ht="12.75">
      <c r="A3">
        <f>'pre-anneal'!L2</f>
        <v>40</v>
      </c>
      <c r="B3">
        <f>'pre-anneal'!M2</f>
        <v>0.07237097160219996</v>
      </c>
      <c r="C3">
        <f>'pre-anneal'!N2</f>
        <v>0</v>
      </c>
      <c r="E3" t="e">
        <f>#REF!</f>
        <v>#REF!</v>
      </c>
      <c r="F3" t="e">
        <f>#REF!</f>
        <v>#REF!</v>
      </c>
      <c r="G3" t="e">
        <f>#REF!</f>
        <v>#REF!</v>
      </c>
    </row>
    <row r="4" spans="1:7" ht="12.75">
      <c r="A4">
        <f>'pre-anneal'!L3</f>
        <v>60</v>
      </c>
      <c r="B4">
        <f>'pre-anneal'!M3</f>
        <v>0.18208907588301215</v>
      </c>
      <c r="C4">
        <f>'pre-anneal'!N3</f>
        <v>0</v>
      </c>
      <c r="E4" t="e">
        <f>#REF!</f>
        <v>#REF!</v>
      </c>
      <c r="F4" t="e">
        <f>#REF!</f>
        <v>#REF!</v>
      </c>
      <c r="G4" t="e">
        <f>#REF!</f>
        <v>#REF!</v>
      </c>
    </row>
    <row r="5" spans="1:7" ht="12.75">
      <c r="A5">
        <f>'pre-anneal'!L4</f>
        <v>80</v>
      </c>
      <c r="B5">
        <f>'pre-anneal'!M4</f>
        <v>0.30705895721620075</v>
      </c>
      <c r="C5">
        <f>'pre-anneal'!N4</f>
        <v>0.87</v>
      </c>
      <c r="E5" t="e">
        <f>#REF!</f>
        <v>#REF!</v>
      </c>
      <c r="F5" t="e">
        <f>#REF!</f>
        <v>#REF!</v>
      </c>
      <c r="G5" t="e">
        <f>#REF!</f>
        <v>#REF!</v>
      </c>
    </row>
    <row r="6" spans="1:7" ht="12.75">
      <c r="A6">
        <f>'pre-anneal'!L5</f>
        <v>100</v>
      </c>
      <c r="B6">
        <f>'pre-anneal'!M5</f>
        <v>0.45872837258153676</v>
      </c>
      <c r="C6">
        <f>'pre-anneal'!N5</f>
        <v>0.95</v>
      </c>
      <c r="E6" t="e">
        <f>#REF!</f>
        <v>#REF!</v>
      </c>
      <c r="F6" t="e">
        <f>#REF!</f>
        <v>#REF!</v>
      </c>
      <c r="G6" t="e">
        <f>#REF!</f>
        <v>#REF!</v>
      </c>
    </row>
    <row r="7" spans="1:7" ht="12.75">
      <c r="A7">
        <f>'pre-anneal'!L6</f>
        <v>130</v>
      </c>
      <c r="B7">
        <f>'pre-anneal'!M6</f>
        <v>0.6256421600224592</v>
      </c>
      <c r="C7">
        <f>'pre-anneal'!N6</f>
        <v>1.17</v>
      </c>
      <c r="E7" t="e">
        <f>#REF!</f>
        <v>#REF!</v>
      </c>
      <c r="F7" t="e">
        <f>#REF!</f>
        <v>#REF!</v>
      </c>
      <c r="G7" t="e">
        <f>#REF!</f>
        <v>#REF!</v>
      </c>
    </row>
    <row r="8" spans="1:7" ht="12.75">
      <c r="A8">
        <f>'pre-anneal'!L7</f>
        <v>160</v>
      </c>
      <c r="B8">
        <f>'pre-anneal'!M7</f>
        <v>0.7306568883454887</v>
      </c>
      <c r="C8">
        <f>'pre-anneal'!N7</f>
        <v>1.4</v>
      </c>
      <c r="E8" t="e">
        <f>#REF!</f>
        <v>#REF!</v>
      </c>
      <c r="F8" t="e">
        <f>#REF!</f>
        <v>#REF!</v>
      </c>
      <c r="G8" t="e">
        <f>#REF!</f>
        <v>#REF!</v>
      </c>
    </row>
    <row r="9" spans="1:7" ht="12.75">
      <c r="A9">
        <f>'pre-anneal'!L8</f>
        <v>200</v>
      </c>
      <c r="B9">
        <f>'pre-anneal'!M8</f>
        <v>0.8351901643915132</v>
      </c>
      <c r="C9">
        <f>'pre-anneal'!N8</f>
        <v>1.55</v>
      </c>
      <c r="E9" t="e">
        <f>#REF!</f>
        <v>#REF!</v>
      </c>
      <c r="F9" t="e">
        <f>#REF!</f>
        <v>#REF!</v>
      </c>
      <c r="G9" t="e">
        <f>#REF!</f>
        <v>#REF!</v>
      </c>
    </row>
    <row r="10" spans="1:7" ht="12.75">
      <c r="A10">
        <f>'pre-anneal'!L9</f>
        <v>250</v>
      </c>
      <c r="B10">
        <f>'pre-anneal'!M9</f>
        <v>0.8792033568747378</v>
      </c>
      <c r="C10">
        <f>'pre-anneal'!N9</f>
        <v>1.81</v>
      </c>
      <c r="E10" t="e">
        <f>#REF!</f>
        <v>#REF!</v>
      </c>
      <c r="F10" t="e">
        <f>#REF!</f>
        <v>#REF!</v>
      </c>
      <c r="G10" t="e">
        <f>#REF!</f>
        <v>#REF!</v>
      </c>
    </row>
    <row r="11" spans="1:7" ht="12.75">
      <c r="A11">
        <f>'pre-anneal'!L10</f>
        <v>300</v>
      </c>
      <c r="B11">
        <f>'pre-anneal'!M10</f>
        <v>0.9052219137056039</v>
      </c>
      <c r="C11">
        <f>'pre-anneal'!N10</f>
        <v>1.97</v>
      </c>
      <c r="E11" t="e">
        <f>#REF!</f>
        <v>#REF!</v>
      </c>
      <c r="F11" t="e">
        <f>#REF!</f>
        <v>#REF!</v>
      </c>
      <c r="G11" t="e">
        <f>#REF!</f>
        <v>#REF!</v>
      </c>
    </row>
    <row r="12" spans="1:7" ht="12.75">
      <c r="A12">
        <f>'pre-anneal'!L11</f>
        <v>350</v>
      </c>
      <c r="B12">
        <f>'pre-anneal'!M11</f>
        <v>0.935947845241427</v>
      </c>
      <c r="C12">
        <f>'pre-anneal'!N11</f>
        <v>2.22</v>
      </c>
      <c r="E12" t="e">
        <f>#REF!</f>
        <v>#REF!</v>
      </c>
      <c r="F12" t="e">
        <f>#REF!</f>
        <v>#REF!</v>
      </c>
      <c r="G12" t="e">
        <f>#REF!</f>
        <v>#REF!</v>
      </c>
    </row>
    <row r="13" spans="1:7" ht="12.75">
      <c r="A13">
        <f>'pre-anneal'!L12</f>
        <v>400</v>
      </c>
      <c r="B13">
        <f>'pre-anneal'!M12</f>
        <v>0.935882997472755</v>
      </c>
      <c r="C13">
        <f>'pre-anneal'!N12</f>
        <v>2.47</v>
      </c>
      <c r="E13" t="e">
        <f>#REF!</f>
        <v>#REF!</v>
      </c>
      <c r="F13" t="e">
        <f>#REF!</f>
        <v>#REF!</v>
      </c>
      <c r="G13" t="e">
        <f>#REF!</f>
        <v>#REF!</v>
      </c>
    </row>
    <row r="14" spans="1:7" ht="12.75">
      <c r="A14">
        <f>'pre-anneal'!L13</f>
        <v>450</v>
      </c>
      <c r="B14">
        <f>'pre-anneal'!M13</f>
        <v>0</v>
      </c>
      <c r="C14">
        <f>'pre-anneal'!N13</f>
        <v>2.64</v>
      </c>
      <c r="E14" t="e">
        <f>#REF!</f>
        <v>#REF!</v>
      </c>
      <c r="F14" t="e">
        <f>#REF!</f>
        <v>#REF!</v>
      </c>
      <c r="G14" t="e">
        <f>#REF!</f>
        <v>#REF!</v>
      </c>
    </row>
    <row r="17" spans="1:5" ht="12.75">
      <c r="A17" t="s">
        <v>23</v>
      </c>
      <c r="E17" t="s">
        <v>29</v>
      </c>
    </row>
    <row r="18" spans="1:7" ht="12.75">
      <c r="A18">
        <f>'5 min anneal'!L2</f>
        <v>40</v>
      </c>
      <c r="B18">
        <f>'5 min anneal'!M2</f>
        <v>0.05353841222983659</v>
      </c>
      <c r="C18">
        <f>'5 min anneal'!N2</f>
        <v>0</v>
      </c>
      <c r="E18" t="e">
        <f>#REF!</f>
        <v>#REF!</v>
      </c>
      <c r="F18" t="e">
        <f>#REF!</f>
        <v>#REF!</v>
      </c>
      <c r="G18" t="e">
        <f>#REF!</f>
        <v>#REF!</v>
      </c>
    </row>
    <row r="19" spans="1:7" ht="12.75">
      <c r="A19">
        <f>'5 min anneal'!L3</f>
        <v>60</v>
      </c>
      <c r="B19">
        <f>'5 min anneal'!M3</f>
        <v>0.11453177847439917</v>
      </c>
      <c r="C19">
        <f>'5 min anneal'!N3</f>
        <v>0</v>
      </c>
      <c r="E19" t="e">
        <f>#REF!</f>
        <v>#REF!</v>
      </c>
      <c r="F19" t="e">
        <f>#REF!</f>
        <v>#REF!</v>
      </c>
      <c r="G19" t="e">
        <f>#REF!</f>
        <v>#REF!</v>
      </c>
    </row>
    <row r="20" spans="1:7" ht="12.75">
      <c r="A20">
        <f>'5 min anneal'!L4</f>
        <v>80</v>
      </c>
      <c r="B20">
        <f>'5 min anneal'!M4</f>
        <v>0.22882422119565213</v>
      </c>
      <c r="E20" t="e">
        <f>#REF!</f>
        <v>#REF!</v>
      </c>
      <c r="F20" t="e">
        <f>#REF!</f>
        <v>#REF!</v>
      </c>
      <c r="G20" t="e">
        <f>#REF!</f>
        <v>#REF!</v>
      </c>
    </row>
    <row r="21" spans="1:7" ht="12.75">
      <c r="A21">
        <f>'5 min anneal'!L5</f>
        <v>100</v>
      </c>
      <c r="B21">
        <f>'5 min anneal'!M5</f>
        <v>0.4227967482403898</v>
      </c>
      <c r="C21">
        <f>'5 min anneal'!N5</f>
        <v>0.94</v>
      </c>
      <c r="E21" t="e">
        <f>#REF!</f>
        <v>#REF!</v>
      </c>
      <c r="F21" t="e">
        <f>#REF!</f>
        <v>#REF!</v>
      </c>
      <c r="G21" t="e">
        <f>#REF!</f>
        <v>#REF!</v>
      </c>
    </row>
    <row r="22" spans="1:7" ht="12.75">
      <c r="A22">
        <f>'5 min anneal'!L6</f>
        <v>130</v>
      </c>
      <c r="B22">
        <f>'5 min anneal'!M6</f>
        <v>0.630469285101822</v>
      </c>
      <c r="C22">
        <f>'5 min anneal'!N6</f>
        <v>1.13</v>
      </c>
      <c r="E22" t="e">
        <f>#REF!</f>
        <v>#REF!</v>
      </c>
      <c r="F22" t="e">
        <f>#REF!</f>
        <v>#REF!</v>
      </c>
      <c r="G22" t="e">
        <f>#REF!</f>
        <v>#REF!</v>
      </c>
    </row>
    <row r="23" spans="1:7" ht="12.75">
      <c r="A23">
        <f>'5 min anneal'!L7</f>
        <v>160</v>
      </c>
      <c r="B23">
        <f>'5 min anneal'!M7</f>
        <v>0.7661666068424003</v>
      </c>
      <c r="C23">
        <f>'5 min anneal'!N7</f>
        <v>1.31</v>
      </c>
      <c r="E23" t="e">
        <f>#REF!</f>
        <v>#REF!</v>
      </c>
      <c r="F23" t="e">
        <f>#REF!</f>
        <v>#REF!</v>
      </c>
      <c r="G23" t="e">
        <f>#REF!</f>
        <v>#REF!</v>
      </c>
    </row>
    <row r="24" spans="1:7" ht="12.75">
      <c r="A24">
        <f>'5 min anneal'!L8</f>
        <v>200</v>
      </c>
      <c r="B24">
        <f>'5 min anneal'!M8</f>
        <v>0.8366507147688839</v>
      </c>
      <c r="C24">
        <f>'5 min anneal'!N8</f>
        <v>1.53</v>
      </c>
      <c r="E24" t="e">
        <f>#REF!</f>
        <v>#REF!</v>
      </c>
      <c r="F24" t="e">
        <f>#REF!</f>
        <v>#REF!</v>
      </c>
      <c r="G24" t="e">
        <f>#REF!</f>
        <v>#REF!</v>
      </c>
    </row>
    <row r="25" spans="1:7" ht="12.75">
      <c r="A25">
        <f>'5 min anneal'!L9</f>
        <v>250</v>
      </c>
      <c r="B25">
        <f>'5 min anneal'!M9</f>
        <v>0.8775003773584905</v>
      </c>
      <c r="C25">
        <f>'5 min anneal'!N9</f>
        <v>1.76</v>
      </c>
      <c r="E25" t="e">
        <f>#REF!</f>
        <v>#REF!</v>
      </c>
      <c r="F25" t="e">
        <f>#REF!</f>
        <v>#REF!</v>
      </c>
      <c r="G25" t="e">
        <f>#REF!</f>
        <v>#REF!</v>
      </c>
    </row>
    <row r="26" spans="1:7" ht="12.75">
      <c r="A26">
        <f>'5 min anneal'!L10</f>
        <v>300</v>
      </c>
      <c r="B26">
        <f>'5 min anneal'!M10</f>
        <v>0.9205083661645423</v>
      </c>
      <c r="C26">
        <f>'5 min anneal'!N10</f>
        <v>2.06</v>
      </c>
      <c r="E26" t="e">
        <f>#REF!</f>
        <v>#REF!</v>
      </c>
      <c r="F26" t="e">
        <f>#REF!</f>
        <v>#REF!</v>
      </c>
      <c r="G26" t="e">
        <f>#REF!</f>
        <v>#REF!</v>
      </c>
    </row>
    <row r="27" spans="1:7" ht="12.75">
      <c r="A27">
        <f>'5 min anneal'!L11</f>
        <v>350</v>
      </c>
      <c r="B27">
        <f>'5 min anneal'!M11</f>
        <v>0.9350417375565612</v>
      </c>
      <c r="C27">
        <f>'5 min anneal'!N11</f>
        <v>2.31</v>
      </c>
      <c r="E27" t="e">
        <f>#REF!</f>
        <v>#REF!</v>
      </c>
      <c r="F27" t="e">
        <f>#REF!</f>
        <v>#REF!</v>
      </c>
      <c r="G27" t="e">
        <f>#REF!</f>
        <v>#REF!</v>
      </c>
    </row>
    <row r="28" spans="1:7" ht="12.75">
      <c r="A28">
        <f>'5 min anneal'!L12</f>
        <v>400</v>
      </c>
      <c r="B28">
        <f>'5 min anneal'!M12</f>
        <v>0.9195654736842106</v>
      </c>
      <c r="C28">
        <f>'5 min anneal'!N12</f>
        <v>2.64</v>
      </c>
      <c r="E28" t="e">
        <f>#REF!</f>
        <v>#REF!</v>
      </c>
      <c r="F28" t="e">
        <f>#REF!</f>
        <v>#REF!</v>
      </c>
      <c r="G28" t="e">
        <f>#REF!</f>
        <v>#REF!</v>
      </c>
    </row>
    <row r="29" spans="1:7" ht="12.75">
      <c r="A29">
        <f>'5 min anneal'!L13</f>
        <v>450</v>
      </c>
      <c r="B29">
        <f>'5 min anneal'!M13</f>
        <v>0</v>
      </c>
      <c r="C29">
        <f>'5 min anneal'!N13</f>
        <v>2.76</v>
      </c>
      <c r="E29" t="e">
        <f>#REF!</f>
        <v>#REF!</v>
      </c>
      <c r="F29" t="e">
        <f>#REF!</f>
        <v>#REF!</v>
      </c>
      <c r="G29" t="e">
        <f>#REF!</f>
        <v>#REF!</v>
      </c>
    </row>
    <row r="30" spans="1:7" ht="12.75">
      <c r="A30">
        <f>'5 min anneal'!L14</f>
        <v>500</v>
      </c>
      <c r="B30">
        <f>'5 min anneal'!M14</f>
        <v>0</v>
      </c>
      <c r="C30">
        <f>'5 min anneal'!N14</f>
        <v>2.91</v>
      </c>
      <c r="E30" t="e">
        <f>#REF!</f>
        <v>#REF!</v>
      </c>
      <c r="F30" t="e">
        <f>#REF!</f>
        <v>#REF!</v>
      </c>
      <c r="G30" t="e">
        <f>#REF!</f>
        <v>#REF!</v>
      </c>
    </row>
    <row r="32" spans="1:5" ht="12.75">
      <c r="A32" t="s">
        <v>61</v>
      </c>
      <c r="E32" t="s">
        <v>30</v>
      </c>
    </row>
    <row r="33" spans="1:7" ht="12.75">
      <c r="A33">
        <f>'10 min anneal'!L2</f>
        <v>40</v>
      </c>
      <c r="B33">
        <f>'10 min anneal'!M2</f>
        <v>0</v>
      </c>
      <c r="C33">
        <f>'10 min anneal'!N2</f>
        <v>0</v>
      </c>
      <c r="E33" t="e">
        <f>#REF!</f>
        <v>#REF!</v>
      </c>
      <c r="F33" t="e">
        <f>#REF!</f>
        <v>#REF!</v>
      </c>
      <c r="G33" t="e">
        <f>#REF!</f>
        <v>#REF!</v>
      </c>
    </row>
    <row r="34" spans="1:7" ht="12.75">
      <c r="A34">
        <f>'10 min anneal'!L3</f>
        <v>60</v>
      </c>
      <c r="B34">
        <f>'10 min anneal'!M3</f>
        <v>0.15532344232698095</v>
      </c>
      <c r="C34">
        <f>'10 min anneal'!N3</f>
        <v>0</v>
      </c>
      <c r="E34" t="e">
        <f>#REF!</f>
        <v>#REF!</v>
      </c>
      <c r="F34" t="e">
        <f>#REF!</f>
        <v>#REF!</v>
      </c>
      <c r="G34" t="e">
        <f>#REF!</f>
        <v>#REF!</v>
      </c>
    </row>
    <row r="35" spans="1:7" ht="12.75">
      <c r="A35">
        <f>'10 min anneal'!L4</f>
        <v>80</v>
      </c>
      <c r="B35">
        <f>'10 min anneal'!M4</f>
        <v>0.28603525899280574</v>
      </c>
      <c r="C35">
        <f>'10 min anneal'!N4</f>
        <v>0</v>
      </c>
      <c r="E35" t="e">
        <f>#REF!</f>
        <v>#REF!</v>
      </c>
      <c r="F35" t="e">
        <f>#REF!</f>
        <v>#REF!</v>
      </c>
      <c r="G35" t="e">
        <f>#REF!</f>
        <v>#REF!</v>
      </c>
    </row>
    <row r="36" spans="1:13" ht="12.75">
      <c r="A36">
        <f>'10 min anneal'!L5</f>
        <v>100</v>
      </c>
      <c r="B36">
        <f>'10 min anneal'!M5</f>
        <v>0.4447022798353909</v>
      </c>
      <c r="C36">
        <f>'10 min anneal'!N5</f>
        <v>0.95</v>
      </c>
      <c r="E36" t="e">
        <f>#REF!</f>
        <v>#REF!</v>
      </c>
      <c r="F36" t="e">
        <f>#REF!</f>
        <v>#REF!</v>
      </c>
      <c r="G36" t="e">
        <f>#REF!</f>
        <v>#REF!</v>
      </c>
      <c r="I36" t="s">
        <v>32</v>
      </c>
      <c r="M36" t="s">
        <v>34</v>
      </c>
    </row>
    <row r="37" spans="1:15" ht="12.75">
      <c r="A37">
        <f>'10 min anneal'!L6</f>
        <v>130</v>
      </c>
      <c r="B37">
        <f>'10 min anneal'!M6</f>
        <v>0.6752403732470335</v>
      </c>
      <c r="C37">
        <f>'10 min anneal'!N6</f>
        <v>1.13</v>
      </c>
      <c r="E37" t="e">
        <f>#REF!</f>
        <v>#REF!</v>
      </c>
      <c r="F37" t="e">
        <f>#REF!</f>
        <v>#REF!</v>
      </c>
      <c r="G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M37" t="s">
        <v>35</v>
      </c>
      <c r="N37" t="s">
        <v>21</v>
      </c>
      <c r="O37" t="s">
        <v>15</v>
      </c>
    </row>
    <row r="38" spans="1:15" ht="12.75">
      <c r="A38">
        <f>'10 min anneal'!L7</f>
        <v>160</v>
      </c>
      <c r="B38">
        <f>'10 min anneal'!M7</f>
        <v>0.7950102078189301</v>
      </c>
      <c r="C38">
        <f>'10 min anneal'!N7</f>
        <v>1.3</v>
      </c>
      <c r="E38" t="e">
        <f>#REF!</f>
        <v>#REF!</v>
      </c>
      <c r="F38" t="e">
        <f>#REF!</f>
        <v>#REF!</v>
      </c>
      <c r="G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</row>
    <row r="39" spans="1:15" ht="12.75">
      <c r="A39">
        <f>'10 min anneal'!L8</f>
        <v>200</v>
      </c>
      <c r="B39">
        <f>'10 min anneal'!M8</f>
        <v>0.8426188144989338</v>
      </c>
      <c r="C39">
        <f>'10 min anneal'!N8</f>
        <v>1.52</v>
      </c>
      <c r="E39" t="e">
        <f>#REF!</f>
        <v>#REF!</v>
      </c>
      <c r="F39" t="e">
        <f>#REF!</f>
        <v>#REF!</v>
      </c>
      <c r="G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</row>
    <row r="40" spans="1:15" ht="12.75">
      <c r="A40">
        <f>'10 min anneal'!L9</f>
        <v>250</v>
      </c>
      <c r="B40">
        <f>'10 min anneal'!M9</f>
        <v>0.919089152</v>
      </c>
      <c r="C40">
        <f>'10 min anneal'!N9</f>
        <v>1.85</v>
      </c>
      <c r="E40" t="e">
        <f>#REF!</f>
        <v>#REF!</v>
      </c>
      <c r="F40" t="e">
        <f>#REF!</f>
        <v>#REF!</v>
      </c>
      <c r="G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</row>
    <row r="41" spans="1:15" ht="12.75">
      <c r="A41">
        <f>'10 min anneal'!L10</f>
        <v>300</v>
      </c>
      <c r="B41">
        <f>'10 min anneal'!M10</f>
        <v>0.9145205955734406</v>
      </c>
      <c r="C41">
        <f>'10 min anneal'!N10</f>
        <v>2.04</v>
      </c>
      <c r="E41" t="e">
        <f>#REF!</f>
        <v>#REF!</v>
      </c>
      <c r="F41" t="e">
        <f>#REF!</f>
        <v>#REF!</v>
      </c>
      <c r="G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</row>
    <row r="42" spans="1:15" ht="12.75">
      <c r="A42">
        <f>'10 min anneal'!L11</f>
        <v>350</v>
      </c>
      <c r="B42">
        <f>'10 min anneal'!M11</f>
        <v>0.9281371991786448</v>
      </c>
      <c r="C42" s="4">
        <f>'10 min anneal'!N11</f>
        <v>2.25</v>
      </c>
      <c r="E42" t="e">
        <f>#REF!</f>
        <v>#REF!</v>
      </c>
      <c r="F42" t="e">
        <f>#REF!</f>
        <v>#REF!</v>
      </c>
      <c r="G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</row>
    <row r="43" spans="1:15" ht="12.75">
      <c r="A43">
        <f>'10 min anneal'!L12</f>
        <v>400</v>
      </c>
      <c r="B43">
        <f>'10 min anneal'!M12</f>
        <v>0.9415954831013916</v>
      </c>
      <c r="C43" s="4">
        <f>'10 min anneal'!N12</f>
        <v>2.44</v>
      </c>
      <c r="E43" t="e">
        <f>#REF!</f>
        <v>#REF!</v>
      </c>
      <c r="F43" t="e">
        <f>#REF!</f>
        <v>#REF!</v>
      </c>
      <c r="G43" t="e">
        <f>#REF!</f>
        <v>#REF!</v>
      </c>
      <c r="H43">
        <v>80</v>
      </c>
      <c r="I43" t="e">
        <f>#REF!</f>
        <v>#REF!</v>
      </c>
      <c r="J43" t="e">
        <f>#REF!</f>
        <v>#REF!</v>
      </c>
      <c r="K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</row>
    <row r="44" spans="1:15" ht="12.75">
      <c r="A44">
        <f>'10 min anneal'!L13</f>
        <v>450</v>
      </c>
      <c r="B44">
        <f>'10 min anneal'!M13</f>
        <v>0.9837064298597193</v>
      </c>
      <c r="C44" s="4">
        <f>'10 min anneal'!N13</f>
        <v>2.77</v>
      </c>
      <c r="E44" t="e">
        <f>#REF!</f>
        <v>#REF!</v>
      </c>
      <c r="F44" t="e">
        <f>#REF!</f>
        <v>#REF!</v>
      </c>
      <c r="G44" t="e">
        <f>#REF!</f>
        <v>#REF!</v>
      </c>
      <c r="H44">
        <v>100</v>
      </c>
      <c r="I44" t="e">
        <f>#REF!</f>
        <v>#REF!</v>
      </c>
      <c r="J44" t="e">
        <f>#REF!</f>
        <v>#REF!</v>
      </c>
      <c r="K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</row>
    <row r="45" spans="1:15" ht="12.75">
      <c r="A45">
        <f>'10 min anneal'!L14</f>
        <v>500</v>
      </c>
      <c r="B45">
        <f>'10 min anneal'!M14</f>
        <v>0.9888412102335927</v>
      </c>
      <c r="C45" s="4">
        <f>'10 min anneal'!N14</f>
        <v>2.97</v>
      </c>
      <c r="E45" t="e">
        <f>#REF!</f>
        <v>#REF!</v>
      </c>
      <c r="F45" t="e">
        <f>#REF!</f>
        <v>#REF!</v>
      </c>
      <c r="G45" t="e">
        <f>#REF!</f>
        <v>#REF!</v>
      </c>
      <c r="H45">
        <v>150</v>
      </c>
      <c r="I45" t="e">
        <f>#REF!</f>
        <v>#REF!</v>
      </c>
      <c r="J45" t="e">
        <f>#REF!</f>
        <v>#REF!</v>
      </c>
      <c r="K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</row>
    <row r="46" spans="1:3" ht="12.75">
      <c r="A46">
        <f>'10 min anneal'!L15</f>
        <v>550</v>
      </c>
      <c r="B46">
        <f>'10 min anneal'!M15</f>
        <v>0.9867140642398287</v>
      </c>
      <c r="C46" s="4">
        <f>'10 min anneal'!N15</f>
        <v>3.15</v>
      </c>
    </row>
    <row r="47" spans="1:3" ht="12.75">
      <c r="A47">
        <f>'10 min anneal'!L16</f>
        <v>600</v>
      </c>
      <c r="B47">
        <f>'10 min anneal'!M16</f>
        <v>0.9802490384615383</v>
      </c>
      <c r="C47" s="4">
        <f>'10 min anneal'!N16</f>
        <v>3.26</v>
      </c>
    </row>
    <row r="48" spans="1:3" ht="12.75">
      <c r="A48">
        <f>'10 min anneal'!L17</f>
        <v>650</v>
      </c>
      <c r="B48">
        <f>'10 min anneal'!M17</f>
        <v>1.0010806299045598</v>
      </c>
      <c r="C48" s="4">
        <f>'10 min anneal'!N17</f>
        <v>3.32</v>
      </c>
    </row>
    <row r="49" spans="1:3" ht="12.75">
      <c r="A49">
        <f>'10 min anneal'!L18</f>
        <v>700</v>
      </c>
      <c r="B49">
        <f>'10 min anneal'!M18</f>
        <v>0</v>
      </c>
      <c r="C49" s="4">
        <f>'10 min anneal'!N18</f>
        <v>3.44</v>
      </c>
    </row>
    <row r="50" ht="12.75">
      <c r="C50" s="4"/>
    </row>
    <row r="51" ht="12.75">
      <c r="C51" s="4"/>
    </row>
    <row r="52" ht="12.75">
      <c r="C52" s="4"/>
    </row>
    <row r="53" spans="8:15" ht="12.75">
      <c r="H53">
        <v>200</v>
      </c>
      <c r="I53" t="e">
        <f>#REF!</f>
        <v>#REF!</v>
      </c>
      <c r="J53" t="e">
        <f>#REF!</f>
        <v>#REF!</v>
      </c>
      <c r="K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</row>
    <row r="54" spans="8:11" ht="12.75">
      <c r="H54">
        <v>250</v>
      </c>
      <c r="I54" t="e">
        <f>#REF!</f>
        <v>#REF!</v>
      </c>
      <c r="J54" t="e">
        <f>#REF!</f>
        <v>#REF!</v>
      </c>
      <c r="K54" t="e">
        <f>#REF!</f>
        <v>#REF!</v>
      </c>
    </row>
    <row r="55" spans="1:11" ht="12.75">
      <c r="A55" t="s">
        <v>25</v>
      </c>
      <c r="E55" t="s">
        <v>31</v>
      </c>
      <c r="H55">
        <v>300</v>
      </c>
      <c r="I55" t="e">
        <f>#REF!</f>
        <v>#REF!</v>
      </c>
      <c r="J55" t="e">
        <f>#REF!</f>
        <v>#REF!</v>
      </c>
      <c r="K55" t="e">
        <f>#REF!</f>
        <v>#REF!</v>
      </c>
    </row>
    <row r="56" spans="1:11" ht="12.75">
      <c r="A56">
        <f>'80 min anneal'!L2</f>
        <v>40</v>
      </c>
      <c r="B56">
        <f>'80 min anneal'!M2</f>
        <v>0</v>
      </c>
      <c r="C56">
        <f>'80 min anneal'!N2</f>
        <v>0</v>
      </c>
      <c r="E56" t="e">
        <f>#REF!</f>
        <v>#REF!</v>
      </c>
      <c r="F56" t="e">
        <f>#REF!</f>
        <v>#REF!</v>
      </c>
      <c r="G56" t="e">
        <f>#REF!</f>
        <v>#REF!</v>
      </c>
      <c r="H56">
        <v>350</v>
      </c>
      <c r="I56" t="e">
        <f>#REF!</f>
        <v>#REF!</v>
      </c>
      <c r="J56" t="e">
        <f>#REF!</f>
        <v>#REF!</v>
      </c>
      <c r="K56" t="e">
        <f>#REF!</f>
        <v>#REF!</v>
      </c>
    </row>
    <row r="57" spans="1:11" ht="12.75">
      <c r="A57">
        <f>'80 min anneal'!L3</f>
        <v>60</v>
      </c>
      <c r="B57">
        <f>'80 min anneal'!M3</f>
        <v>0.15112960832791153</v>
      </c>
      <c r="C57">
        <f>'80 min anneal'!N3</f>
        <v>0</v>
      </c>
      <c r="E57" t="e">
        <f>#REF!</f>
        <v>#REF!</v>
      </c>
      <c r="F57" t="e">
        <f>#REF!</f>
        <v>#REF!</v>
      </c>
      <c r="G57" t="e">
        <f>#REF!</f>
        <v>#REF!</v>
      </c>
      <c r="H57">
        <v>400</v>
      </c>
      <c r="I57" t="e">
        <f>#REF!</f>
        <v>#REF!</v>
      </c>
      <c r="J57" t="e">
        <f>#REF!</f>
        <v>#REF!</v>
      </c>
      <c r="K57" t="e">
        <f>#REF!</f>
        <v>#REF!</v>
      </c>
    </row>
    <row r="58" spans="1:7" ht="12.75">
      <c r="A58">
        <f>'80 min anneal'!L4</f>
        <v>80</v>
      </c>
      <c r="B58">
        <f>'80 min anneal'!M4</f>
        <v>0.2825613583973655</v>
      </c>
      <c r="C58">
        <f>'80 min anneal'!N4</f>
        <v>0</v>
      </c>
      <c r="E58" t="e">
        <f>#REF!</f>
        <v>#REF!</v>
      </c>
      <c r="F58" t="e">
        <f>#REF!</f>
        <v>#REF!</v>
      </c>
      <c r="G58" t="e">
        <f>#REF!</f>
        <v>#REF!</v>
      </c>
    </row>
    <row r="59" spans="1:9" ht="12.75">
      <c r="A59">
        <f>'80 min anneal'!L5</f>
        <v>100</v>
      </c>
      <c r="B59">
        <f>'80 min anneal'!M5</f>
        <v>0.445764559955382</v>
      </c>
      <c r="C59">
        <f>'80 min anneal'!N5</f>
        <v>0.96</v>
      </c>
      <c r="E59" t="e">
        <f>#REF!</f>
        <v>#REF!</v>
      </c>
      <c r="F59" t="e">
        <f>#REF!</f>
        <v>#REF!</v>
      </c>
      <c r="G59" t="e">
        <f>#REF!</f>
        <v>#REF!</v>
      </c>
      <c r="I59" t="s">
        <v>33</v>
      </c>
    </row>
    <row r="60" spans="1:11" ht="12.75">
      <c r="A60">
        <f>'80 min anneal'!L6</f>
        <v>130</v>
      </c>
      <c r="B60">
        <f>'80 min anneal'!M6</f>
        <v>0.6664145408911448</v>
      </c>
      <c r="C60">
        <f>'80 min anneal'!N6</f>
        <v>1.18</v>
      </c>
      <c r="E60" t="e">
        <f>#REF!</f>
        <v>#REF!</v>
      </c>
      <c r="F60" t="e">
        <f>#REF!</f>
        <v>#REF!</v>
      </c>
      <c r="G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</row>
    <row r="61" spans="1:11" ht="12.75">
      <c r="A61">
        <f>'80 min anneal'!L7</f>
        <v>160</v>
      </c>
      <c r="B61">
        <f>'80 min anneal'!M7</f>
        <v>0.7414247272727271</v>
      </c>
      <c r="C61">
        <f>'80 min anneal'!N7</f>
        <v>1.35</v>
      </c>
      <c r="E61" t="e">
        <f>#REF!</f>
        <v>#REF!</v>
      </c>
      <c r="F61" t="e">
        <f>#REF!</f>
        <v>#REF!</v>
      </c>
      <c r="G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</row>
    <row r="62" spans="1:11" ht="12.75">
      <c r="A62">
        <f>'80 min anneal'!L8</f>
        <v>200</v>
      </c>
      <c r="B62">
        <f>'80 min anneal'!M8</f>
        <v>0.8250228363636364</v>
      </c>
      <c r="C62">
        <f>'80 min anneal'!N8</f>
        <v>1.53</v>
      </c>
      <c r="E62" t="e">
        <f>#REF!</f>
        <v>#REF!</v>
      </c>
      <c r="F62" t="e">
        <f>#REF!</f>
        <v>#REF!</v>
      </c>
      <c r="G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</row>
    <row r="63" spans="1:11" ht="12.75">
      <c r="A63">
        <f>'80 min anneal'!L9</f>
        <v>250</v>
      </c>
      <c r="B63">
        <f>'80 min anneal'!M9</f>
        <v>0.8812593730684327</v>
      </c>
      <c r="C63">
        <f>'80 min anneal'!N9</f>
        <v>1.75</v>
      </c>
      <c r="E63" t="e">
        <f>#REF!</f>
        <v>#REF!</v>
      </c>
      <c r="F63" t="e">
        <f>#REF!</f>
        <v>#REF!</v>
      </c>
      <c r="G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</row>
    <row r="64" spans="1:11" ht="12.75">
      <c r="A64">
        <f>'80 min anneal'!L10</f>
        <v>300</v>
      </c>
      <c r="B64">
        <f>'80 min anneal'!M10</f>
        <v>0.8885357920903956</v>
      </c>
      <c r="C64">
        <f>'80 min anneal'!N10</f>
        <v>2</v>
      </c>
      <c r="E64" t="e">
        <f>#REF!</f>
        <v>#REF!</v>
      </c>
      <c r="F64" t="e">
        <f>#REF!</f>
        <v>#REF!</v>
      </c>
      <c r="G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</row>
    <row r="65" spans="1:11" ht="12.75">
      <c r="A65">
        <f>'80 min anneal'!L11</f>
        <v>350</v>
      </c>
      <c r="B65">
        <f>'80 min anneal'!M11</f>
        <v>0</v>
      </c>
      <c r="C65">
        <f>'80 min anneal'!N11</f>
        <v>2.22</v>
      </c>
      <c r="E65" t="e">
        <f>#REF!</f>
        <v>#REF!</v>
      </c>
      <c r="F65" t="e">
        <f>#REF!</f>
        <v>#REF!</v>
      </c>
      <c r="G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</row>
    <row r="66" spans="1:11" ht="12.75">
      <c r="A66">
        <f>'80 min anneal'!L12</f>
        <v>400</v>
      </c>
      <c r="B66">
        <f>'80 min anneal'!M12</f>
        <v>0</v>
      </c>
      <c r="C66">
        <f>'80 min anneal'!N12</f>
        <v>2.64</v>
      </c>
      <c r="E66" t="e">
        <f>#REF!</f>
        <v>#REF!</v>
      </c>
      <c r="F66" t="e">
        <f>#REF!</f>
        <v>#REF!</v>
      </c>
      <c r="G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</row>
    <row r="67" spans="1:11" ht="12.75">
      <c r="A67">
        <f>'80 min anneal'!L13</f>
        <v>450</v>
      </c>
      <c r="B67">
        <f>'80 min anneal'!M13</f>
        <v>0.9746596227224008</v>
      </c>
      <c r="C67">
        <f>'80 min anneal'!N13</f>
        <v>2.68</v>
      </c>
      <c r="E67" t="e">
        <f>#REF!</f>
        <v>#REF!</v>
      </c>
      <c r="F67" t="e">
        <f>#REF!</f>
        <v>#REF!</v>
      </c>
      <c r="G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</row>
    <row r="68" spans="1:11" ht="12.75">
      <c r="A68">
        <f>'80 min anneal'!L14</f>
        <v>500</v>
      </c>
      <c r="B68">
        <f>'80 min anneal'!M14</f>
        <v>0</v>
      </c>
      <c r="C68">
        <f>'80 min anneal'!N14</f>
        <v>2.97</v>
      </c>
      <c r="E68" t="e">
        <f>#REF!</f>
        <v>#REF!</v>
      </c>
      <c r="F68" t="e">
        <f>#REF!</f>
        <v>#REF!</v>
      </c>
      <c r="G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</row>
    <row r="69" spans="1:3" ht="12.75">
      <c r="A69">
        <f>'80 min anneal'!L15</f>
        <v>550</v>
      </c>
      <c r="B69">
        <f>'80 min anneal'!M15</f>
        <v>0.9571226535031847</v>
      </c>
      <c r="C69">
        <f>'80 min anneal'!N15</f>
        <v>3.15</v>
      </c>
    </row>
    <row r="70" spans="1:3" ht="12.75">
      <c r="A70">
        <f>'80 min anneal'!L16</f>
        <v>600</v>
      </c>
      <c r="B70">
        <f>'80 min anneal'!M16</f>
        <v>0</v>
      </c>
      <c r="C70">
        <f>'80 min anneal'!N16</f>
        <v>3.26</v>
      </c>
    </row>
    <row r="71" spans="1:3" ht="12.75">
      <c r="A71">
        <f>'80 min anneal'!L17</f>
        <v>650</v>
      </c>
      <c r="B71">
        <f>'80 min anneal'!M17</f>
        <v>0</v>
      </c>
      <c r="C71">
        <f>'80 min anneal'!N17</f>
        <v>3.32</v>
      </c>
    </row>
    <row r="72" spans="1:3" ht="12.75">
      <c r="A72">
        <f>'80 min anneal'!L18</f>
        <v>700</v>
      </c>
      <c r="B72">
        <f>'80 min anneal'!M18</f>
        <v>0</v>
      </c>
      <c r="C72">
        <f>'80 min anneal'!N18</f>
        <v>3.44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4">
      <selection activeCell="D6" sqref="D6"/>
    </sheetView>
  </sheetViews>
  <sheetFormatPr defaultColWidth="9.140625" defaultRowHeight="12.75"/>
  <cols>
    <col min="1" max="1" width="10.7109375" style="0" customWidth="1"/>
    <col min="2" max="3" width="9.7109375" style="0" customWidth="1"/>
  </cols>
  <sheetData>
    <row r="1" spans="1:4" ht="12.75">
      <c r="A1" t="s">
        <v>54</v>
      </c>
      <c r="D1">
        <v>1.96</v>
      </c>
    </row>
    <row r="2" spans="1:3" ht="12.75">
      <c r="A2" t="s">
        <v>26</v>
      </c>
      <c r="B2" t="s">
        <v>15</v>
      </c>
      <c r="C2" t="s">
        <v>21</v>
      </c>
    </row>
    <row r="3" spans="1:3" ht="12.75">
      <c r="A3">
        <f>t0</f>
        <v>1.96</v>
      </c>
      <c r="B3">
        <f>summary!$C$11</f>
        <v>1.97</v>
      </c>
      <c r="C3">
        <f>summary!B11</f>
        <v>0.9052219137056039</v>
      </c>
    </row>
    <row r="4" spans="1:3" ht="12.75">
      <c r="A4">
        <f>5+t0</f>
        <v>6.96</v>
      </c>
      <c r="B4">
        <f>summary!$C$27</f>
        <v>2.31</v>
      </c>
      <c r="C4">
        <f>summary!$B$25</f>
        <v>0.8775003773584905</v>
      </c>
    </row>
    <row r="5" spans="1:3" ht="12.75">
      <c r="A5">
        <f>15+t0</f>
        <v>16.96</v>
      </c>
      <c r="B5">
        <f>summary!$C$42</f>
        <v>2.25</v>
      </c>
      <c r="C5">
        <f>summary!$B$40</f>
        <v>0.919089152</v>
      </c>
    </row>
    <row r="6" spans="1:3" ht="12.75">
      <c r="A6">
        <f>40+t0</f>
        <v>41.96</v>
      </c>
      <c r="B6">
        <f>summary!$C$65</f>
        <v>2.22</v>
      </c>
      <c r="C6">
        <f>summary!$B$63</f>
        <v>0.8812593730684327</v>
      </c>
    </row>
    <row r="7" spans="1:3" ht="12.75">
      <c r="A7">
        <f>80+t0</f>
        <v>81.96</v>
      </c>
      <c r="B7" t="e">
        <f>summary!$G$11</f>
        <v>#REF!</v>
      </c>
      <c r="C7" t="e">
        <f>summary!$F$9</f>
        <v>#REF!</v>
      </c>
    </row>
    <row r="8" spans="1:3" ht="12.75">
      <c r="A8">
        <f>200+t0</f>
        <v>201.96</v>
      </c>
      <c r="B8" t="e">
        <f>summary!$G$27</f>
        <v>#REF!</v>
      </c>
      <c r="C8" t="e">
        <f>summary!$F$25</f>
        <v>#REF!</v>
      </c>
    </row>
    <row r="9" spans="1:3" ht="12.75">
      <c r="A9">
        <f>400+t0</f>
        <v>401.96</v>
      </c>
      <c r="B9" t="e">
        <f>summary!$G$42</f>
        <v>#REF!</v>
      </c>
      <c r="C9" t="e">
        <f>summary!$F$42</f>
        <v>#REF!</v>
      </c>
    </row>
    <row r="10" spans="1:3" ht="12.75">
      <c r="A10">
        <f>1000+t0</f>
        <v>1001.96</v>
      </c>
      <c r="B10" t="e">
        <f>summary!$G$65</f>
        <v>#REF!</v>
      </c>
      <c r="C10" t="e">
        <f>summary!$F$65</f>
        <v>#REF!</v>
      </c>
    </row>
    <row r="11" spans="1:3" ht="12.75">
      <c r="A11">
        <f>2000+t0</f>
        <v>2001.96</v>
      </c>
      <c r="B11" t="e">
        <f>summary!K54</f>
        <v>#REF!</v>
      </c>
      <c r="C11" t="e">
        <f>summary!J54</f>
        <v>#REF!</v>
      </c>
    </row>
    <row r="12" spans="1:3" ht="12.75">
      <c r="A12">
        <f>4000+t0</f>
        <v>4001.96</v>
      </c>
      <c r="B12" t="e">
        <f>summary!K65</f>
        <v>#REF!</v>
      </c>
      <c r="C12" t="e">
        <f>summary!J65</f>
        <v>#REF!</v>
      </c>
    </row>
    <row r="13" spans="1:3" ht="12.75">
      <c r="A13">
        <f>10000+t0</f>
        <v>10001.96</v>
      </c>
      <c r="B13" t="e">
        <f>summary!O43</f>
        <v>#REF!</v>
      </c>
      <c r="C13" t="e">
        <f>summary!N43</f>
        <v>#REF!</v>
      </c>
    </row>
    <row r="20" ht="12.75">
      <c r="A20" t="s">
        <v>27</v>
      </c>
    </row>
    <row r="21" spans="1:2" ht="12.75">
      <c r="A21" t="s">
        <v>26</v>
      </c>
      <c r="B21" t="s">
        <v>28</v>
      </c>
    </row>
    <row r="22" spans="1:2" ht="12.75">
      <c r="A22">
        <f>t0</f>
        <v>1.96</v>
      </c>
      <c r="B22">
        <v>158.7</v>
      </c>
    </row>
    <row r="23" spans="1:2" ht="12.75">
      <c r="A23">
        <f>5+t0</f>
        <v>6.96</v>
      </c>
      <c r="B23">
        <v>150</v>
      </c>
    </row>
    <row r="24" spans="1:2" ht="12.75">
      <c r="A24">
        <f>15+t0</f>
        <v>16.96</v>
      </c>
      <c r="B24">
        <v>143.4</v>
      </c>
    </row>
    <row r="25" spans="1:2" ht="12.75">
      <c r="A25">
        <f>40+t0</f>
        <v>41.96</v>
      </c>
      <c r="B25">
        <v>147.5</v>
      </c>
    </row>
    <row r="26" spans="1:2" ht="12.75">
      <c r="A26">
        <f>80+t0</f>
        <v>81.96</v>
      </c>
      <c r="B26">
        <v>168.2</v>
      </c>
    </row>
    <row r="27" spans="1:2" ht="12.75">
      <c r="A27">
        <f>200+t0</f>
        <v>201.96</v>
      </c>
      <c r="B27">
        <v>159</v>
      </c>
    </row>
    <row r="28" spans="1:2" ht="12.75">
      <c r="A28">
        <f>400+t0</f>
        <v>401.96</v>
      </c>
      <c r="B28">
        <v>196.5</v>
      </c>
    </row>
    <row r="29" spans="1:2" ht="12.75">
      <c r="A29">
        <v>1001.96</v>
      </c>
      <c r="B29">
        <v>261</v>
      </c>
    </row>
    <row r="30" spans="1:2" ht="12.75">
      <c r="A30">
        <v>2001.96</v>
      </c>
      <c r="B30">
        <v>255.4</v>
      </c>
    </row>
    <row r="31" spans="1:2" ht="12.75">
      <c r="A31">
        <v>4001.96</v>
      </c>
      <c r="B31">
        <v>275.2</v>
      </c>
    </row>
    <row r="32" spans="1:2" ht="12.75">
      <c r="A32">
        <v>10001.96</v>
      </c>
      <c r="B32">
        <v>297.1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workbookViewId="0" topLeftCell="A127">
      <selection activeCell="O2" sqref="O2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50</v>
      </c>
      <c r="C1" t="s">
        <v>43</v>
      </c>
      <c r="E1" t="s">
        <v>44</v>
      </c>
      <c r="H1" t="s">
        <v>51</v>
      </c>
      <c r="L1" t="s">
        <v>20</v>
      </c>
      <c r="M1" t="s">
        <v>21</v>
      </c>
      <c r="N1" t="s">
        <v>15</v>
      </c>
      <c r="O1" t="s">
        <v>55</v>
      </c>
      <c r="Q1" t="s">
        <v>11</v>
      </c>
      <c r="R1" t="s">
        <v>11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22</v>
      </c>
      <c r="L2">
        <v>40</v>
      </c>
      <c r="M2">
        <f>G16</f>
        <v>0.07237097160219996</v>
      </c>
      <c r="S2" s="4"/>
      <c r="T2" s="4"/>
      <c r="U2" s="4"/>
      <c r="V2" s="4"/>
      <c r="W2" s="4"/>
      <c r="X2" s="4"/>
      <c r="Y2" s="4"/>
    </row>
    <row r="3" spans="3:25" ht="12.75">
      <c r="C3">
        <v>119.80258620689655</v>
      </c>
      <c r="E3">
        <v>-15.543586206896553</v>
      </c>
      <c r="H3">
        <v>1.005399805489024</v>
      </c>
      <c r="L3">
        <v>60</v>
      </c>
      <c r="M3">
        <f>G25</f>
        <v>0.18208907588301215</v>
      </c>
      <c r="O3">
        <v>5.7</v>
      </c>
      <c r="S3" s="5"/>
      <c r="T3" s="5"/>
      <c r="U3" s="5"/>
      <c r="V3" s="4"/>
      <c r="W3" s="5"/>
      <c r="X3" s="5"/>
      <c r="Y3" s="6"/>
    </row>
    <row r="4" spans="12:25" ht="12.75">
      <c r="L4">
        <v>80</v>
      </c>
      <c r="M4">
        <f>G34</f>
        <v>0.30705895721620075</v>
      </c>
      <c r="N4">
        <f>N34</f>
        <v>0.87</v>
      </c>
      <c r="O4">
        <v>7</v>
      </c>
      <c r="S4" s="5"/>
      <c r="T4" s="5"/>
      <c r="U4" s="5"/>
      <c r="V4" s="4"/>
      <c r="W4" s="5"/>
      <c r="X4" s="5"/>
      <c r="Y4" s="5"/>
    </row>
    <row r="5" spans="12:25" ht="12.75">
      <c r="L5">
        <v>100</v>
      </c>
      <c r="M5">
        <f>G44</f>
        <v>0.45872837258153676</v>
      </c>
      <c r="N5">
        <f>N47</f>
        <v>0.95</v>
      </c>
      <c r="O5">
        <v>6.8</v>
      </c>
      <c r="S5" s="5"/>
      <c r="T5" s="5"/>
      <c r="U5" s="5"/>
      <c r="V5" s="4"/>
      <c r="W5" s="5"/>
      <c r="X5" s="5"/>
      <c r="Y5" s="5"/>
    </row>
    <row r="6" spans="12:25" ht="12.75">
      <c r="L6">
        <v>130</v>
      </c>
      <c r="M6">
        <f>G54</f>
        <v>0.6256421600224592</v>
      </c>
      <c r="N6">
        <f>N56</f>
        <v>1.17</v>
      </c>
      <c r="O6">
        <v>8.7</v>
      </c>
      <c r="S6" s="5"/>
      <c r="T6" s="5"/>
      <c r="U6" s="5"/>
      <c r="V6" s="4"/>
      <c r="W6" s="5"/>
      <c r="X6" s="5"/>
      <c r="Y6" s="5"/>
    </row>
    <row r="7" spans="12:25" ht="12.75">
      <c r="L7">
        <v>160</v>
      </c>
      <c r="M7">
        <f>G66</f>
        <v>0.7306568883454887</v>
      </c>
      <c r="N7" s="4">
        <f>N72</f>
        <v>1.4</v>
      </c>
      <c r="O7">
        <v>10</v>
      </c>
      <c r="S7" s="5"/>
      <c r="T7" s="5"/>
      <c r="U7" s="5"/>
      <c r="V7" s="4"/>
      <c r="W7" s="5"/>
      <c r="X7" s="5"/>
      <c r="Y7" s="5"/>
    </row>
    <row r="8" spans="12:25" ht="12.75">
      <c r="L8">
        <v>200</v>
      </c>
      <c r="M8">
        <f>G81</f>
        <v>0.8351901643915132</v>
      </c>
      <c r="N8">
        <f>N87</f>
        <v>1.55</v>
      </c>
      <c r="O8">
        <v>11.5</v>
      </c>
      <c r="S8" s="5"/>
      <c r="T8" s="8"/>
      <c r="U8" s="5"/>
      <c r="V8" s="4"/>
      <c r="W8" s="5"/>
      <c r="X8" s="5"/>
      <c r="Y8" s="5"/>
    </row>
    <row r="9" spans="12:25" ht="12.75">
      <c r="L9">
        <v>250</v>
      </c>
      <c r="M9">
        <f>G96</f>
        <v>0.8792033568747378</v>
      </c>
      <c r="N9">
        <f>N103</f>
        <v>1.81</v>
      </c>
      <c r="O9" s="4">
        <v>13.6</v>
      </c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300</v>
      </c>
      <c r="M10">
        <f>G111</f>
        <v>0.9052219137056039</v>
      </c>
      <c r="N10" s="4">
        <f>N115</f>
        <v>1.97</v>
      </c>
      <c r="O10" s="12">
        <v>15.6</v>
      </c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350</v>
      </c>
      <c r="M11">
        <f>G126</f>
        <v>0.935947845241427</v>
      </c>
      <c r="N11" s="4">
        <f>N125</f>
        <v>2.22</v>
      </c>
      <c r="O11" s="12">
        <v>17.3</v>
      </c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400</v>
      </c>
      <c r="M12">
        <f>G138</f>
        <v>0.935882997472755</v>
      </c>
      <c r="N12" s="4">
        <f>N138</f>
        <v>2.47</v>
      </c>
      <c r="O12" s="4"/>
      <c r="P12" s="4"/>
      <c r="Q12" s="4"/>
      <c r="S12" s="4"/>
      <c r="T12" s="4"/>
      <c r="U12" s="4"/>
      <c r="V12" s="4"/>
      <c r="W12" s="4"/>
      <c r="X12" s="4"/>
      <c r="Y12" s="4"/>
    </row>
    <row r="13" spans="1:25" ht="12.75">
      <c r="A13" t="s">
        <v>7</v>
      </c>
      <c r="B13" t="s">
        <v>17</v>
      </c>
      <c r="L13">
        <v>450</v>
      </c>
      <c r="N13" s="4">
        <f>N150</f>
        <v>2.64</v>
      </c>
      <c r="O13" s="4"/>
      <c r="P13" s="4"/>
      <c r="Q13" s="4"/>
      <c r="S13" s="4"/>
      <c r="T13" s="4"/>
      <c r="U13" s="4"/>
      <c r="V13" s="4"/>
      <c r="W13" s="4"/>
      <c r="X13" s="4"/>
      <c r="Y13" s="4"/>
    </row>
    <row r="14" spans="14:17" ht="12.75">
      <c r="N14" s="4"/>
      <c r="O14" s="4"/>
      <c r="P14" s="4"/>
      <c r="Q14" s="4"/>
    </row>
    <row r="15" spans="1:17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N15" s="4"/>
      <c r="O15" s="4"/>
      <c r="P15" s="4"/>
      <c r="Q15" s="4"/>
    </row>
    <row r="16" spans="1:17" ht="12.75">
      <c r="A16">
        <v>105</v>
      </c>
      <c r="B16">
        <f>(A16-offset1)/gain1</f>
        <v>1.0061851753243483</v>
      </c>
      <c r="C16">
        <v>385929</v>
      </c>
      <c r="D16">
        <v>1820</v>
      </c>
      <c r="E16">
        <v>21</v>
      </c>
      <c r="F16">
        <v>109</v>
      </c>
      <c r="G16">
        <f>corr*(E16+F16)/(D16-14)</f>
        <v>0.07237097160219996</v>
      </c>
      <c r="N16" s="4"/>
      <c r="O16" s="7"/>
      <c r="P16" s="5"/>
      <c r="Q16" s="4"/>
    </row>
    <row r="17" spans="14:17" ht="12.75">
      <c r="N17" s="5"/>
      <c r="O17" s="7"/>
      <c r="P17" s="4"/>
      <c r="Q17" s="4"/>
    </row>
    <row r="18" spans="14:17" ht="12.75">
      <c r="N18" s="4"/>
      <c r="O18" s="4"/>
      <c r="P18" s="4"/>
      <c r="Q18" s="4"/>
    </row>
    <row r="19" spans="14:17" ht="12.75"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8</v>
      </c>
      <c r="N21" s="4"/>
      <c r="O21" s="4"/>
      <c r="P21" s="4"/>
      <c r="Q21" s="4"/>
    </row>
    <row r="22" spans="14:17" ht="12.75">
      <c r="N22" s="4"/>
      <c r="O22" s="4"/>
      <c r="P22" s="4"/>
      <c r="Q22" s="4"/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N23" s="4"/>
      <c r="O23" s="4"/>
      <c r="P23" s="4"/>
      <c r="Q23" s="4"/>
    </row>
    <row r="24" spans="1:17" ht="12.75">
      <c r="A24">
        <v>90</v>
      </c>
      <c r="B24">
        <f>(A24-offset1)/gain1</f>
        <v>0.8809791970986752</v>
      </c>
      <c r="C24">
        <v>215026</v>
      </c>
      <c r="D24">
        <v>905</v>
      </c>
      <c r="E24">
        <v>17</v>
      </c>
      <c r="F24">
        <v>183</v>
      </c>
      <c r="G24">
        <f>corr*(E24+F24)/(D24-14)</f>
        <v>0.22567896868440496</v>
      </c>
      <c r="N24" s="4"/>
      <c r="O24" s="4"/>
      <c r="P24" s="4"/>
      <c r="Q24" s="4"/>
    </row>
    <row r="25" spans="1:17" ht="12.75">
      <c r="A25" s="1">
        <v>105</v>
      </c>
      <c r="B25">
        <f>(A25-offset1)/gain1</f>
        <v>1.0061851753243483</v>
      </c>
      <c r="C25">
        <v>730335</v>
      </c>
      <c r="D25">
        <v>1828</v>
      </c>
      <c r="E25">
        <v>33</v>
      </c>
      <c r="F25">
        <v>293</v>
      </c>
      <c r="G25">
        <f>corr*(E25+F25)/(D25-14*2)</f>
        <v>0.18208907588301215</v>
      </c>
      <c r="N25" s="4"/>
      <c r="O25" s="4"/>
      <c r="P25" s="4"/>
      <c r="Q25" s="4"/>
    </row>
    <row r="26" spans="1:17" ht="12.75">
      <c r="A26">
        <v>120</v>
      </c>
      <c r="B26">
        <f>(A26-offset1)/gain1</f>
        <v>1.1313911535500212</v>
      </c>
      <c r="C26">
        <v>670244</v>
      </c>
      <c r="D26">
        <v>1823</v>
      </c>
      <c r="E26">
        <v>23</v>
      </c>
      <c r="F26">
        <v>194</v>
      </c>
      <c r="G26">
        <f>corr*(E26+F26)/(D26-14*2)</f>
        <v>0.12154415475828315</v>
      </c>
      <c r="N26" s="4"/>
      <c r="O26" s="4"/>
      <c r="P26" s="5"/>
      <c r="Q26" s="4"/>
    </row>
    <row r="27" spans="14:17" ht="12.75">
      <c r="N27" s="4"/>
      <c r="O27" s="4"/>
      <c r="P27" s="4"/>
      <c r="Q27" s="4"/>
    </row>
    <row r="28" spans="14:17" ht="12.75">
      <c r="N28" s="4"/>
      <c r="O28" s="4"/>
      <c r="P28" s="4"/>
      <c r="Q28" s="4"/>
    </row>
    <row r="29" spans="14:17" ht="12.75">
      <c r="N29" s="4"/>
      <c r="O29" s="4"/>
      <c r="P29" s="4"/>
      <c r="Q29" s="4"/>
    </row>
    <row r="30" spans="1:17" ht="12.75">
      <c r="A30" t="s">
        <v>9</v>
      </c>
      <c r="B30" t="s">
        <v>47</v>
      </c>
      <c r="N30" s="4"/>
      <c r="O30" s="4"/>
      <c r="P30" s="4"/>
      <c r="Q30" s="4"/>
    </row>
    <row r="31" spans="14:17" ht="12.75">
      <c r="N31" s="4"/>
      <c r="O31" s="4"/>
      <c r="P31" s="4"/>
      <c r="Q31" s="4"/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N32" s="4">
        <v>0.85</v>
      </c>
      <c r="O32" s="4">
        <f>2.7879*N32^2-6.5827*N32+4.108</f>
        <v>0.5269627499999991</v>
      </c>
      <c r="P32" s="4"/>
      <c r="Q32" s="4"/>
    </row>
    <row r="33" spans="1:17" ht="12.75">
      <c r="A33">
        <v>90</v>
      </c>
      <c r="B33">
        <f>(A33-offset1)/gain1</f>
        <v>0.8809791970986752</v>
      </c>
      <c r="C33">
        <v>131998</v>
      </c>
      <c r="D33">
        <v>880</v>
      </c>
      <c r="E33">
        <v>41</v>
      </c>
      <c r="F33">
        <v>366</v>
      </c>
      <c r="G33">
        <f>corr*(E33+F33)/(D33-14)</f>
        <v>0.4725146891847954</v>
      </c>
      <c r="N33" s="4">
        <f>N32+0.01</f>
        <v>0.86</v>
      </c>
      <c r="O33" s="4">
        <f>2.7879*N33^2-6.5827*N33+4.108</f>
        <v>0.5088088399999999</v>
      </c>
      <c r="P33" s="4"/>
      <c r="Q33" s="4"/>
    </row>
    <row r="34" spans="1:17" ht="12.75">
      <c r="A34">
        <v>105</v>
      </c>
      <c r="B34">
        <f>(A34-offset1)/gain1</f>
        <v>1.0061851753243483</v>
      </c>
      <c r="C34">
        <v>146973</v>
      </c>
      <c r="D34">
        <v>1781</v>
      </c>
      <c r="E34">
        <v>33</v>
      </c>
      <c r="F34">
        <v>495</v>
      </c>
      <c r="G34">
        <f>1.019459*(E34+F34)/(D34-14*2)</f>
        <v>0.30705895721620075</v>
      </c>
      <c r="N34" s="4">
        <f>N33+0.01</f>
        <v>0.87</v>
      </c>
      <c r="O34" s="4">
        <f>2.7879*N34^2-6.5827*N34+4.108</f>
        <v>0.49121250999999955</v>
      </c>
      <c r="P34" s="4"/>
      <c r="Q34" s="4"/>
    </row>
    <row r="35" spans="1:17" ht="12.75">
      <c r="A35" s="1">
        <v>120</v>
      </c>
      <c r="B35">
        <f>(A35-offset1)/gain1</f>
        <v>1.1313911535500212</v>
      </c>
      <c r="C35">
        <v>611650</v>
      </c>
      <c r="D35">
        <v>1773</v>
      </c>
      <c r="E35">
        <v>40</v>
      </c>
      <c r="F35">
        <v>352</v>
      </c>
      <c r="G35">
        <f>1.019459*(E35+F35)/(D35-14*2)</f>
        <v>0.2290131392550143</v>
      </c>
      <c r="P35" s="4"/>
      <c r="Q35" s="4"/>
    </row>
    <row r="36" spans="16:17" ht="12.75">
      <c r="P36" s="4"/>
      <c r="Q36" s="4"/>
    </row>
    <row r="37" spans="16:17" ht="12.75">
      <c r="P37" s="4"/>
      <c r="Q37" s="4"/>
    </row>
    <row r="40" spans="1:4" ht="12.75">
      <c r="A40" t="s">
        <v>10</v>
      </c>
      <c r="B40" t="s">
        <v>47</v>
      </c>
      <c r="C40" s="3"/>
      <c r="D40" s="3"/>
    </row>
    <row r="42" spans="1:15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N42">
        <v>0.95</v>
      </c>
      <c r="O42">
        <f>0.6273*N42^3-1.9832*N42^2+1.2757*N42+0.544</f>
        <v>0.5039083375</v>
      </c>
    </row>
    <row r="43" spans="1:15" ht="12.75">
      <c r="A43">
        <v>90</v>
      </c>
      <c r="B43">
        <f>(A43-offset1)/gain1</f>
        <v>0.8809791970986752</v>
      </c>
      <c r="C43">
        <v>1825829</v>
      </c>
      <c r="D43">
        <v>867</v>
      </c>
      <c r="E43">
        <v>37</v>
      </c>
      <c r="F43">
        <v>436</v>
      </c>
      <c r="G43">
        <f>corr*(E43+F43)/(D43-14)</f>
        <v>0.5575077467717566</v>
      </c>
      <c r="N43" s="4">
        <f aca="true" t="shared" si="0" ref="N43:N49">N42+0.01</f>
        <v>0.96</v>
      </c>
      <c r="O43">
        <f aca="true" t="shared" si="1" ref="O43:O49">0.6273*N43^3-1.9832*N43^2+1.2757*N43+0.544</f>
        <v>0.49594977279999997</v>
      </c>
    </row>
    <row r="44" spans="1:15" ht="12.75">
      <c r="A44" s="1">
        <v>105</v>
      </c>
      <c r="B44">
        <f>(A44-offset1)/gain1</f>
        <v>1.0061851753243483</v>
      </c>
      <c r="D44">
        <v>1837</v>
      </c>
      <c r="E44">
        <v>70</v>
      </c>
      <c r="F44">
        <v>744</v>
      </c>
      <c r="G44">
        <f>1.019459*(E44+F44)/(D44-14*2)</f>
        <v>0.45872837258153676</v>
      </c>
      <c r="N44" s="4">
        <f t="shared" si="0"/>
        <v>0.97</v>
      </c>
      <c r="O44">
        <f t="shared" si="1"/>
        <v>0.4879558929000001</v>
      </c>
    </row>
    <row r="45" spans="1:15" ht="12.75">
      <c r="A45">
        <v>120</v>
      </c>
      <c r="B45">
        <f>(A45-offset1)/gain1</f>
        <v>1.1313911535500212</v>
      </c>
      <c r="D45">
        <v>1735</v>
      </c>
      <c r="E45">
        <v>55</v>
      </c>
      <c r="F45">
        <v>543</v>
      </c>
      <c r="G45">
        <f>1.019459*(E45+F45)/(D45-14*2)</f>
        <v>0.35713912243702395</v>
      </c>
      <c r="N45" s="4">
        <f t="shared" si="0"/>
        <v>0.98</v>
      </c>
      <c r="O45">
        <f t="shared" si="1"/>
        <v>0.4799304616000002</v>
      </c>
    </row>
    <row r="46" spans="1:15" ht="12.75">
      <c r="A46">
        <v>150</v>
      </c>
      <c r="B46">
        <f>(A46-offset1)/gain1</f>
        <v>1.3818031100013672</v>
      </c>
      <c r="C46">
        <v>53978</v>
      </c>
      <c r="D46">
        <v>1769</v>
      </c>
      <c r="E46">
        <v>20</v>
      </c>
      <c r="F46">
        <v>279</v>
      </c>
      <c r="G46">
        <f>1.019459*(E46+F46)/(D46-14*2)</f>
        <v>0.17508227512923605</v>
      </c>
      <c r="N46" s="4">
        <f t="shared" si="0"/>
        <v>0.99</v>
      </c>
      <c r="O46">
        <f t="shared" si="1"/>
        <v>0.4718772427000002</v>
      </c>
    </row>
    <row r="47" spans="14:16" ht="12.75">
      <c r="N47" s="5">
        <v>0.95</v>
      </c>
      <c r="O47">
        <f t="shared" si="1"/>
        <v>0.5039083375</v>
      </c>
      <c r="P47" s="2"/>
    </row>
    <row r="48" spans="14:15" ht="12.75">
      <c r="N48" s="4">
        <f t="shared" si="0"/>
        <v>0.96</v>
      </c>
      <c r="O48">
        <f t="shared" si="1"/>
        <v>0.49594977279999997</v>
      </c>
    </row>
    <row r="49" spans="14:15" ht="12.75">
      <c r="N49" s="4">
        <f t="shared" si="0"/>
        <v>0.97</v>
      </c>
      <c r="O49">
        <f t="shared" si="1"/>
        <v>0.4879558929000001</v>
      </c>
    </row>
    <row r="51" spans="1:4" ht="12.75">
      <c r="A51" t="s">
        <v>45</v>
      </c>
      <c r="C51" s="3"/>
      <c r="D51" s="3"/>
    </row>
    <row r="53" spans="1:7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</row>
    <row r="54" spans="1:7" ht="12.75">
      <c r="A54">
        <v>105</v>
      </c>
      <c r="B54">
        <f>(A54-offset1)/gain1</f>
        <v>1.0061851753243483</v>
      </c>
      <c r="C54">
        <v>433600</v>
      </c>
      <c r="D54">
        <v>1809</v>
      </c>
      <c r="E54">
        <v>194</v>
      </c>
      <c r="F54">
        <v>899</v>
      </c>
      <c r="G54">
        <f>1.019459*(E54+F54)/(D54-14*2)</f>
        <v>0.6256421600224592</v>
      </c>
    </row>
    <row r="55" spans="1:15" ht="12.75">
      <c r="A55">
        <v>120</v>
      </c>
      <c r="B55">
        <f>(A55-offset1)/gain1</f>
        <v>1.1313911535500212</v>
      </c>
      <c r="C55">
        <v>865445</v>
      </c>
      <c r="D55">
        <v>1760</v>
      </c>
      <c r="E55">
        <v>146</v>
      </c>
      <c r="F55">
        <v>754</v>
      </c>
      <c r="G55">
        <f>1.019459*(E55+F55)/(D55-14*2)</f>
        <v>0.5297419745958429</v>
      </c>
      <c r="N55">
        <v>1.17</v>
      </c>
      <c r="O55">
        <f aca="true" t="shared" si="2" ref="O55:O60">1.1388*N55^3-4.1427*N55^2+4.1825*N55-0.5486</f>
        <v>0.4978998544000013</v>
      </c>
    </row>
    <row r="56" spans="1:15" ht="12.75">
      <c r="A56">
        <v>150</v>
      </c>
      <c r="B56">
        <f>(A56-offset1)/gain1</f>
        <v>1.3818031100013672</v>
      </c>
      <c r="C56">
        <v>40978</v>
      </c>
      <c r="D56">
        <v>1777</v>
      </c>
      <c r="E56">
        <v>102</v>
      </c>
      <c r="F56">
        <v>456</v>
      </c>
      <c r="G56">
        <f>1.019459*(E56+F56)/(D56-14*2)</f>
        <v>0.3252476397941681</v>
      </c>
      <c r="N56" s="5">
        <v>1.17</v>
      </c>
      <c r="O56">
        <f t="shared" si="2"/>
        <v>0.4978998544000013</v>
      </c>
    </row>
    <row r="57" spans="1:15" ht="12.75">
      <c r="A57">
        <v>180</v>
      </c>
      <c r="B57">
        <f>(A57-offset1)/gain1</f>
        <v>1.632215066452713</v>
      </c>
      <c r="C57">
        <v>16736</v>
      </c>
      <c r="D57">
        <v>1769</v>
      </c>
      <c r="E57">
        <v>59</v>
      </c>
      <c r="F57">
        <v>271</v>
      </c>
      <c r="G57">
        <f>1.019459*(E57+F57)/(D57-14*2)</f>
        <v>0.19323461803561168</v>
      </c>
      <c r="N57" s="4">
        <f>N56+0.01</f>
        <v>1.18</v>
      </c>
      <c r="O57">
        <f t="shared" si="2"/>
        <v>0.4895393616000008</v>
      </c>
    </row>
    <row r="58" spans="14:15" ht="12.75">
      <c r="N58" s="4">
        <f>N57+0.01</f>
        <v>1.19</v>
      </c>
      <c r="O58">
        <f t="shared" si="2"/>
        <v>0.4811565992000002</v>
      </c>
    </row>
    <row r="59" spans="14:15" ht="12.75">
      <c r="N59" s="4">
        <f>N58+0.01</f>
        <v>1.2</v>
      </c>
      <c r="O59">
        <f t="shared" si="2"/>
        <v>0.47275840000000136</v>
      </c>
    </row>
    <row r="60" spans="14:15" ht="12.75">
      <c r="N60" s="4">
        <f>N59+0.01</f>
        <v>1.21</v>
      </c>
      <c r="O60">
        <f t="shared" si="2"/>
        <v>0.4643515968000007</v>
      </c>
    </row>
    <row r="63" spans="1:4" ht="12.75">
      <c r="A63" t="s">
        <v>46</v>
      </c>
      <c r="C63" s="3"/>
      <c r="D63" s="3"/>
    </row>
    <row r="65" spans="1: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</row>
    <row r="66" spans="1:15" ht="12.75">
      <c r="A66">
        <v>105</v>
      </c>
      <c r="B66">
        <f>(A66-offset1)/gain1</f>
        <v>1.0061851753243483</v>
      </c>
      <c r="C66">
        <v>13413</v>
      </c>
      <c r="D66">
        <v>1024</v>
      </c>
      <c r="E66">
        <v>128</v>
      </c>
      <c r="F66">
        <v>606</v>
      </c>
      <c r="G66">
        <f>corr*(E66+F66)/(D66-14)</f>
        <v>0.7306568883454887</v>
      </c>
      <c r="N66">
        <v>1.4</v>
      </c>
      <c r="O66">
        <f>-0.2019*N66^3+0.864*N66^2-1.787*N66+1.8617</f>
        <v>0.49932640000000017</v>
      </c>
    </row>
    <row r="67" spans="1:15" ht="12.75">
      <c r="A67">
        <v>120</v>
      </c>
      <c r="B67">
        <f>(A67-offset1)/gain1</f>
        <v>1.1313911535500212</v>
      </c>
      <c r="C67">
        <v>23234</v>
      </c>
      <c r="D67">
        <v>1041</v>
      </c>
      <c r="E67">
        <v>118</v>
      </c>
      <c r="F67">
        <v>554</v>
      </c>
      <c r="G67">
        <f>corr*(E67+F67)/(D67-14)</f>
        <v>0.6578662797357587</v>
      </c>
      <c r="N67" s="4">
        <f aca="true" t="shared" si="3" ref="N67:N73">N66+0.01</f>
        <v>1.41</v>
      </c>
      <c r="O67">
        <f aca="true" t="shared" si="4" ref="O67:O73">-0.2019*N67^3+0.864*N67^2-1.787*N67+1.8617</f>
        <v>0.49377808010000024</v>
      </c>
    </row>
    <row r="68" spans="1:15" ht="12.75">
      <c r="A68">
        <v>150</v>
      </c>
      <c r="B68">
        <f>(A68-offset1)/gain1</f>
        <v>1.3818031100013672</v>
      </c>
      <c r="C68">
        <v>271225</v>
      </c>
      <c r="D68">
        <v>910</v>
      </c>
      <c r="E68">
        <v>81</v>
      </c>
      <c r="F68">
        <v>369</v>
      </c>
      <c r="G68">
        <f>corr*(E68+F68)/(D68-14)</f>
        <v>0.5049440987389072</v>
      </c>
      <c r="N68" s="4">
        <f t="shared" si="3"/>
        <v>1.42</v>
      </c>
      <c r="O68">
        <f t="shared" si="4"/>
        <v>0.4882317528</v>
      </c>
    </row>
    <row r="69" spans="1:15" ht="12.75">
      <c r="A69">
        <v>180</v>
      </c>
      <c r="B69">
        <f>(A69-offset1)/gain1</f>
        <v>1.632215066452713</v>
      </c>
      <c r="C69">
        <v>359304</v>
      </c>
      <c r="D69">
        <v>921</v>
      </c>
      <c r="E69">
        <v>77</v>
      </c>
      <c r="F69">
        <v>258</v>
      </c>
      <c r="G69">
        <f>corr*(E69+F69)/(D69-14)</f>
        <v>0.37134391933718086</v>
      </c>
      <c r="N69" s="4">
        <f t="shared" si="3"/>
        <v>1.43</v>
      </c>
      <c r="O69">
        <f t="shared" si="4"/>
        <v>0.48268620669999995</v>
      </c>
    </row>
    <row r="70" spans="1:15" ht="12.75">
      <c r="A70">
        <v>210</v>
      </c>
      <c r="B70">
        <f>(A70-offset1)/gain1</f>
        <v>1.8826270229040591</v>
      </c>
      <c r="C70">
        <v>154692</v>
      </c>
      <c r="D70">
        <v>921</v>
      </c>
      <c r="E70">
        <v>29</v>
      </c>
      <c r="F70">
        <v>162</v>
      </c>
      <c r="G70">
        <f>corr*(E70+F70)/(D70-14)</f>
        <v>0.21172145848776583</v>
      </c>
      <c r="N70" s="4">
        <f t="shared" si="3"/>
        <v>1.44</v>
      </c>
      <c r="O70">
        <f t="shared" si="4"/>
        <v>0.47714023039999987</v>
      </c>
    </row>
    <row r="71" spans="14:15" ht="12.75">
      <c r="N71" s="4">
        <f t="shared" si="3"/>
        <v>1.45</v>
      </c>
      <c r="O71">
        <f t="shared" si="4"/>
        <v>0.47159261250000006</v>
      </c>
    </row>
    <row r="72" spans="14:15" ht="12.75">
      <c r="N72" s="5">
        <v>1.4</v>
      </c>
      <c r="O72">
        <f t="shared" si="4"/>
        <v>0.49932640000000017</v>
      </c>
    </row>
    <row r="73" spans="14:15" ht="12.75">
      <c r="N73" s="4">
        <f t="shared" si="3"/>
        <v>1.41</v>
      </c>
      <c r="O73">
        <f t="shared" si="4"/>
        <v>0.49377808010000024</v>
      </c>
    </row>
    <row r="74" ht="12.75">
      <c r="N74" s="4"/>
    </row>
    <row r="75" ht="12.75">
      <c r="N75" s="4"/>
    </row>
    <row r="78" spans="1:4" ht="12.75">
      <c r="A78" t="s">
        <v>18</v>
      </c>
      <c r="C78" s="3"/>
      <c r="D78" s="3"/>
    </row>
    <row r="80" spans="1:7" ht="12.75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</row>
    <row r="81" spans="1:7" ht="12.75">
      <c r="A81">
        <v>105</v>
      </c>
      <c r="B81">
        <f aca="true" t="shared" si="5" ref="B81:B86">(A81-offset1)/gain1</f>
        <v>1.0061851753243483</v>
      </c>
      <c r="D81">
        <v>965</v>
      </c>
      <c r="E81">
        <v>96</v>
      </c>
      <c r="F81">
        <v>694</v>
      </c>
      <c r="G81">
        <f aca="true" t="shared" si="6" ref="G81:G86">corr*(E81+F81)/(D81-14)</f>
        <v>0.8351901643915132</v>
      </c>
    </row>
    <row r="82" spans="1:15" ht="12.75">
      <c r="A82">
        <v>120</v>
      </c>
      <c r="B82">
        <f t="shared" si="5"/>
        <v>1.1313911535500212</v>
      </c>
      <c r="C82">
        <v>14576</v>
      </c>
      <c r="D82">
        <v>878</v>
      </c>
      <c r="E82">
        <v>150</v>
      </c>
      <c r="F82">
        <v>492</v>
      </c>
      <c r="G82">
        <f t="shared" si="6"/>
        <v>0.7470679110230942</v>
      </c>
      <c r="N82">
        <v>1.54</v>
      </c>
      <c r="O82">
        <f>0.2015*N82^3-0.8934*N82^2+0.6818*N82+0.8397</f>
        <v>0.5068157560000003</v>
      </c>
    </row>
    <row r="83" spans="1:15" ht="12.75">
      <c r="A83">
        <v>150</v>
      </c>
      <c r="B83">
        <f t="shared" si="5"/>
        <v>1.3818031100013672</v>
      </c>
      <c r="C83">
        <v>11297</v>
      </c>
      <c r="D83">
        <v>874</v>
      </c>
      <c r="E83">
        <v>106</v>
      </c>
      <c r="F83">
        <v>407</v>
      </c>
      <c r="G83">
        <f t="shared" si="6"/>
        <v>0.5997326746696154</v>
      </c>
      <c r="N83" s="4">
        <f aca="true" t="shared" si="7" ref="N83:N88">N82+0.01</f>
        <v>1.55</v>
      </c>
      <c r="O83">
        <f aca="true" t="shared" si="8" ref="O83:O88">0.2015*N83^3-0.8934*N83^2+0.6818*N83+0.8397</f>
        <v>0.5004573124999999</v>
      </c>
    </row>
    <row r="84" spans="1:15" ht="12.75">
      <c r="A84">
        <v>180</v>
      </c>
      <c r="B84">
        <f t="shared" si="5"/>
        <v>1.632215066452713</v>
      </c>
      <c r="D84">
        <v>921</v>
      </c>
      <c r="E84">
        <v>102</v>
      </c>
      <c r="F84">
        <v>329</v>
      </c>
      <c r="G84">
        <f t="shared" si="6"/>
        <v>0.47775889323679094</v>
      </c>
      <c r="N84" s="4">
        <f t="shared" si="7"/>
        <v>1.56</v>
      </c>
      <c r="O84">
        <f t="shared" si="8"/>
        <v>0.4941075839999999</v>
      </c>
    </row>
    <row r="85" spans="1:15" ht="12.75">
      <c r="A85">
        <v>210</v>
      </c>
      <c r="B85">
        <f t="shared" si="5"/>
        <v>1.8826270229040591</v>
      </c>
      <c r="D85">
        <v>895</v>
      </c>
      <c r="E85">
        <v>52</v>
      </c>
      <c r="F85">
        <v>191</v>
      </c>
      <c r="G85">
        <f t="shared" si="6"/>
        <v>0.2773123186536128</v>
      </c>
      <c r="N85" s="4">
        <f t="shared" si="7"/>
        <v>1.57</v>
      </c>
      <c r="O85">
        <f t="shared" si="8"/>
        <v>0.48776777949999983</v>
      </c>
    </row>
    <row r="86" spans="1:15" ht="12.75">
      <c r="A86">
        <v>240</v>
      </c>
      <c r="B86">
        <f t="shared" si="5"/>
        <v>2.133038979355405</v>
      </c>
      <c r="D86">
        <v>900</v>
      </c>
      <c r="E86">
        <v>39</v>
      </c>
      <c r="F86">
        <v>130</v>
      </c>
      <c r="G86">
        <f t="shared" si="6"/>
        <v>0.1917749064646107</v>
      </c>
      <c r="N86" s="4">
        <f t="shared" si="7"/>
        <v>1.58</v>
      </c>
      <c r="O86">
        <f t="shared" si="8"/>
        <v>0.4814391080000001</v>
      </c>
    </row>
    <row r="87" spans="14:15" ht="12.75">
      <c r="N87" s="5">
        <v>1.55</v>
      </c>
      <c r="O87">
        <f t="shared" si="8"/>
        <v>0.5004573124999999</v>
      </c>
    </row>
    <row r="88" spans="14:15" ht="12.75">
      <c r="N88" s="4">
        <f t="shared" si="7"/>
        <v>1.56</v>
      </c>
      <c r="O88">
        <f t="shared" si="8"/>
        <v>0.4941075839999999</v>
      </c>
    </row>
    <row r="93" spans="1:4" ht="12.75">
      <c r="A93" t="s">
        <v>12</v>
      </c>
      <c r="C93" s="3"/>
      <c r="D93" s="3"/>
    </row>
    <row r="95" spans="1:7" ht="12.7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</row>
    <row r="96" spans="1:7" ht="12.75">
      <c r="A96" s="11">
        <v>105</v>
      </c>
      <c r="B96">
        <f aca="true" t="shared" si="9" ref="B96:B102">(A96-offset1)/gain1</f>
        <v>1.0061851753243483</v>
      </c>
      <c r="C96">
        <v>51413</v>
      </c>
      <c r="D96">
        <v>978</v>
      </c>
      <c r="F96">
        <v>843</v>
      </c>
      <c r="G96">
        <f>corr*(E96+F96)/(D96-14)</f>
        <v>0.8792033568747378</v>
      </c>
    </row>
    <row r="97" spans="1:15" ht="12.75">
      <c r="A97" s="10">
        <v>120</v>
      </c>
      <c r="B97" s="11">
        <f t="shared" si="9"/>
        <v>1.1313911535500212</v>
      </c>
      <c r="C97" s="11">
        <v>96520</v>
      </c>
      <c r="D97" s="11">
        <v>852</v>
      </c>
      <c r="E97" s="11">
        <v>179</v>
      </c>
      <c r="F97" s="11">
        <v>573</v>
      </c>
      <c r="G97">
        <f>corr*(E97+F97)/(D97-14)</f>
        <v>0.9022203505104368</v>
      </c>
      <c r="N97">
        <v>1.8</v>
      </c>
      <c r="O97">
        <f>0.4103*N97^3-2.2068*N97^2+3.2305*N97-0.553</f>
        <v>0.5047376000000002</v>
      </c>
    </row>
    <row r="98" spans="1:15" ht="12.75">
      <c r="A98" s="11">
        <v>150</v>
      </c>
      <c r="B98" s="11">
        <f t="shared" si="9"/>
        <v>1.3818031100013672</v>
      </c>
      <c r="C98" s="11">
        <v>54707</v>
      </c>
      <c r="D98" s="11">
        <v>1082</v>
      </c>
      <c r="E98" s="11">
        <v>241</v>
      </c>
      <c r="F98" s="11">
        <v>602</v>
      </c>
      <c r="G98">
        <f>corr*(E98+F98)/(D98-14)</f>
        <v>0.7935880487146509</v>
      </c>
      <c r="N98" s="4">
        <f>N97+0.01</f>
        <v>1.81</v>
      </c>
      <c r="O98">
        <f aca="true" t="shared" si="10" ref="O98:O103">0.4103*N98^3-2.2068*N98^2+3.2305*N98-0.553</f>
        <v>0.4974802523000016</v>
      </c>
    </row>
    <row r="99" spans="1:15" ht="12.75">
      <c r="A99">
        <v>180</v>
      </c>
      <c r="B99">
        <f t="shared" si="9"/>
        <v>1.632215066452713</v>
      </c>
      <c r="C99">
        <v>78251</v>
      </c>
      <c r="D99">
        <v>2165</v>
      </c>
      <c r="E99">
        <v>205</v>
      </c>
      <c r="F99">
        <v>1071</v>
      </c>
      <c r="G99">
        <f>corr*(E99+F99)/(D99-14*2)</f>
        <v>0.6003229535816541</v>
      </c>
      <c r="N99" s="4">
        <f>N98+0.01</f>
        <v>1.82</v>
      </c>
      <c r="O99">
        <f t="shared" si="10"/>
        <v>0.4902271304000009</v>
      </c>
    </row>
    <row r="100" spans="1:15" ht="12.75">
      <c r="A100">
        <v>210</v>
      </c>
      <c r="B100">
        <f t="shared" si="9"/>
        <v>1.8826270229040591</v>
      </c>
      <c r="D100">
        <v>922</v>
      </c>
      <c r="E100">
        <v>98</v>
      </c>
      <c r="F100">
        <v>320</v>
      </c>
      <c r="G100">
        <f>corr*(E100+F100)/(D100-14)</f>
        <v>0.46283823644759037</v>
      </c>
      <c r="N100" s="4">
        <f>N99+0.01</f>
        <v>1.83</v>
      </c>
      <c r="O100">
        <f t="shared" si="10"/>
        <v>0.48298069610000105</v>
      </c>
    </row>
    <row r="101" spans="1:15" ht="12.75">
      <c r="A101">
        <v>240</v>
      </c>
      <c r="B101">
        <f t="shared" si="9"/>
        <v>2.133038979355405</v>
      </c>
      <c r="D101">
        <v>870</v>
      </c>
      <c r="E101">
        <v>55</v>
      </c>
      <c r="F101">
        <v>179</v>
      </c>
      <c r="G101">
        <f>corr*(E101+F101)/(D101-14)</f>
        <v>0.2748406010332145</v>
      </c>
      <c r="N101" s="4">
        <f>N100+0.01</f>
        <v>1.84</v>
      </c>
      <c r="O101">
        <f t="shared" si="10"/>
        <v>0.47574341120000063</v>
      </c>
    </row>
    <row r="102" spans="1:15" ht="12.75">
      <c r="A102">
        <v>270</v>
      </c>
      <c r="B102">
        <f t="shared" si="9"/>
        <v>2.3834509358067515</v>
      </c>
      <c r="G102">
        <f>1.019459*(E102+F102)/(D102-14*2)</f>
        <v>0</v>
      </c>
      <c r="N102" s="4">
        <f>N101+0.01</f>
        <v>1.85</v>
      </c>
      <c r="O102">
        <f t="shared" si="10"/>
        <v>0.4685177375000008</v>
      </c>
    </row>
    <row r="103" spans="14:15" ht="12.75">
      <c r="N103" s="5">
        <v>1.81</v>
      </c>
      <c r="O103">
        <f t="shared" si="10"/>
        <v>0.4974802523000016</v>
      </c>
    </row>
    <row r="108" spans="1:4" ht="12.75">
      <c r="A108" t="s">
        <v>48</v>
      </c>
      <c r="C108" s="3"/>
      <c r="D108" s="3"/>
    </row>
    <row r="110" spans="1:7" ht="12.75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</row>
    <row r="111" spans="1:15" ht="12.75">
      <c r="A111">
        <v>105</v>
      </c>
      <c r="B111">
        <f aca="true" t="shared" si="11" ref="B111:B119">(A111-offset1)/gain1</f>
        <v>1.0061851753243483</v>
      </c>
      <c r="C111">
        <v>91565</v>
      </c>
      <c r="D111">
        <v>847</v>
      </c>
      <c r="E111">
        <v>0</v>
      </c>
      <c r="F111">
        <v>750</v>
      </c>
      <c r="G111">
        <f>corr*(E111+F111)/(D111-14)</f>
        <v>0.9052219137056039</v>
      </c>
      <c r="N111">
        <v>1.95</v>
      </c>
      <c r="O111">
        <f>0.3316*N111^3-1.8601*N111^2+2.8387*N111-0.4113</f>
        <v>0.5099072999999998</v>
      </c>
    </row>
    <row r="112" spans="1:15" ht="12.75">
      <c r="A112" s="11">
        <v>120</v>
      </c>
      <c r="B112">
        <f t="shared" si="11"/>
        <v>1.1313911535500212</v>
      </c>
      <c r="C112">
        <v>81112</v>
      </c>
      <c r="D112">
        <v>821</v>
      </c>
      <c r="E112">
        <v>0</v>
      </c>
      <c r="F112">
        <v>719</v>
      </c>
      <c r="G112">
        <f>corr*(E112+F112)/(D112-14)</f>
        <v>0.8957651302931949</v>
      </c>
      <c r="N112" s="4">
        <f aca="true" t="shared" si="12" ref="N112:N119">N111+0.01</f>
        <v>1.96</v>
      </c>
      <c r="O112">
        <f aca="true" t="shared" si="13" ref="O112:O119">0.3316*N112^3-1.8601*N112^2+2.8387*N112-0.4113</f>
        <v>0.5035859776</v>
      </c>
    </row>
    <row r="113" spans="1:15" ht="12.75">
      <c r="A113" s="11">
        <v>150</v>
      </c>
      <c r="B113">
        <f t="shared" si="11"/>
        <v>1.3818031100013672</v>
      </c>
      <c r="C113">
        <v>32807</v>
      </c>
      <c r="D113">
        <v>886</v>
      </c>
      <c r="E113">
        <v>0</v>
      </c>
      <c r="F113">
        <v>716</v>
      </c>
      <c r="G113">
        <f>corr*(E113+F113)/(D113-14)</f>
        <v>0.8255347026721803</v>
      </c>
      <c r="N113" s="4">
        <f t="shared" si="12"/>
        <v>1.97</v>
      </c>
      <c r="O113">
        <f t="shared" si="13"/>
        <v>0.49728259679999876</v>
      </c>
    </row>
    <row r="114" spans="1:15" ht="12.75">
      <c r="A114">
        <v>180</v>
      </c>
      <c r="B114">
        <f t="shared" si="11"/>
        <v>1.632215066452713</v>
      </c>
      <c r="C114">
        <v>38969</v>
      </c>
      <c r="D114">
        <v>889</v>
      </c>
      <c r="E114">
        <v>192</v>
      </c>
      <c r="F114">
        <v>425</v>
      </c>
      <c r="G114">
        <f>corr*(E114+F114)/(D114-14)</f>
        <v>0.7089504914134033</v>
      </c>
      <c r="N114" s="4">
        <f t="shared" si="12"/>
        <v>1.98</v>
      </c>
      <c r="O114">
        <f t="shared" si="13"/>
        <v>0.49099914719999904</v>
      </c>
    </row>
    <row r="115" spans="1:15" ht="12.75">
      <c r="A115" s="11">
        <v>210</v>
      </c>
      <c r="B115" s="11">
        <f t="shared" si="11"/>
        <v>1.8826270229040591</v>
      </c>
      <c r="C115" s="11">
        <v>23154</v>
      </c>
      <c r="D115" s="11">
        <v>918</v>
      </c>
      <c r="E115" s="11"/>
      <c r="F115" s="11">
        <v>509</v>
      </c>
      <c r="G115">
        <f>corr*(E115+F115)/(D115-14)</f>
        <v>0.566093474550789</v>
      </c>
      <c r="N115" s="5">
        <v>1.97</v>
      </c>
      <c r="O115">
        <f t="shared" si="13"/>
        <v>0.49728259679999876</v>
      </c>
    </row>
    <row r="116" spans="1:15" ht="12.75">
      <c r="A116">
        <v>225</v>
      </c>
      <c r="B116">
        <f t="shared" si="11"/>
        <v>2.007833001129732</v>
      </c>
      <c r="D116">
        <v>1785</v>
      </c>
      <c r="E116">
        <v>0</v>
      </c>
      <c r="F116">
        <v>847</v>
      </c>
      <c r="G116">
        <f>corr*(E116+F116)/(D116-14*2)</f>
        <v>0.48467480663016704</v>
      </c>
      <c r="N116" s="5"/>
      <c r="O116">
        <f t="shared" si="13"/>
        <v>-0.4113</v>
      </c>
    </row>
    <row r="117" spans="1:15" ht="12.75">
      <c r="A117">
        <v>240</v>
      </c>
      <c r="B117">
        <f t="shared" si="11"/>
        <v>2.133038979355405</v>
      </c>
      <c r="D117">
        <v>1772</v>
      </c>
      <c r="E117">
        <v>202</v>
      </c>
      <c r="F117">
        <v>467</v>
      </c>
      <c r="G117">
        <f>corr*(E117+F117)/(D117-14*2)</f>
        <v>0.3856722877707323</v>
      </c>
      <c r="N117" s="4">
        <f>N115+0.01</f>
        <v>1.98</v>
      </c>
      <c r="O117">
        <f t="shared" si="13"/>
        <v>0.49099914719999904</v>
      </c>
    </row>
    <row r="118" spans="1:15" ht="12.75">
      <c r="A118">
        <v>270</v>
      </c>
      <c r="B118">
        <f t="shared" si="11"/>
        <v>2.3834509358067515</v>
      </c>
      <c r="C118">
        <v>147609</v>
      </c>
      <c r="D118">
        <v>1806</v>
      </c>
      <c r="E118">
        <v>0</v>
      </c>
      <c r="F118">
        <v>475</v>
      </c>
      <c r="G118">
        <f>corr*(E118+F118)/(D118-14*2)</f>
        <v>0.26859668594335573</v>
      </c>
      <c r="N118" s="4">
        <f t="shared" si="12"/>
        <v>1.99</v>
      </c>
      <c r="O118">
        <f t="shared" si="13"/>
        <v>0.4847376183999985</v>
      </c>
    </row>
    <row r="119" spans="1:15" ht="12.75">
      <c r="A119">
        <v>300</v>
      </c>
      <c r="B119">
        <f t="shared" si="11"/>
        <v>2.6338628922580973</v>
      </c>
      <c r="D119">
        <v>876</v>
      </c>
      <c r="F119">
        <v>194</v>
      </c>
      <c r="G119">
        <f>corr*(E119+F119)/(D119-14)</f>
        <v>0.2262732740891771</v>
      </c>
      <c r="N119" s="4">
        <f t="shared" si="12"/>
        <v>2</v>
      </c>
      <c r="O119">
        <f t="shared" si="13"/>
        <v>0.47849999999999926</v>
      </c>
    </row>
    <row r="123" spans="1:4" ht="12.75">
      <c r="A123" t="s">
        <v>49</v>
      </c>
      <c r="C123" s="3"/>
      <c r="D123" s="3"/>
    </row>
    <row r="125" spans="1:15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N125">
        <v>2.22</v>
      </c>
      <c r="O125">
        <f aca="true" t="shared" si="14" ref="O125:O130">-0.5119*N125^2+1.5912*N125-0.5073</f>
        <v>0.5023160399999996</v>
      </c>
    </row>
    <row r="126" spans="1:15" ht="12.75">
      <c r="A126">
        <v>105</v>
      </c>
      <c r="B126">
        <f>(A126-offset1)/gain1</f>
        <v>1.0061851753243483</v>
      </c>
      <c r="C126">
        <v>66804</v>
      </c>
      <c r="D126">
        <v>926</v>
      </c>
      <c r="E126">
        <v>113</v>
      </c>
      <c r="F126">
        <v>736</v>
      </c>
      <c r="G126">
        <f>corr*(E126+F126)/(D126-14)</f>
        <v>0.935947845241427</v>
      </c>
      <c r="N126" s="4">
        <f>N125+0.01</f>
        <v>2.23</v>
      </c>
      <c r="O126">
        <f t="shared" si="14"/>
        <v>0.4954484899999997</v>
      </c>
    </row>
    <row r="127" spans="1:15" ht="12.75">
      <c r="A127" s="11">
        <v>120</v>
      </c>
      <c r="B127">
        <f>(A127-offset1)/gain1</f>
        <v>1.1313911535500212</v>
      </c>
      <c r="N127" s="4">
        <f>N126+0.01</f>
        <v>2.2399999999999998</v>
      </c>
      <c r="O127">
        <f t="shared" si="14"/>
        <v>0.4884785599999998</v>
      </c>
    </row>
    <row r="128" spans="1:15" ht="12.75">
      <c r="A128" s="11">
        <v>210</v>
      </c>
      <c r="B128">
        <f>(A128-offset1)/gain1</f>
        <v>1.8826270229040591</v>
      </c>
      <c r="C128">
        <v>25801</v>
      </c>
      <c r="D128">
        <v>1948</v>
      </c>
      <c r="E128">
        <v>156</v>
      </c>
      <c r="F128">
        <v>1131</v>
      </c>
      <c r="G128">
        <f>corr*(E128+F128)/(D128-14*2)</f>
        <v>0.6739320571168614</v>
      </c>
      <c r="N128" s="4">
        <f>N127+0.01</f>
        <v>2.2499999999999996</v>
      </c>
      <c r="O128">
        <f t="shared" si="14"/>
        <v>0.4814062499999999</v>
      </c>
    </row>
    <row r="129" spans="1:15" ht="12.75">
      <c r="A129">
        <v>240</v>
      </c>
      <c r="B129">
        <f>(A129-offset1)/gain1</f>
        <v>2.133038979355405</v>
      </c>
      <c r="C129">
        <v>186909</v>
      </c>
      <c r="D129">
        <v>1923</v>
      </c>
      <c r="E129">
        <v>135</v>
      </c>
      <c r="F129">
        <v>916</v>
      </c>
      <c r="G129">
        <f>corr*(E129+F129)/(D129-14*2)</f>
        <v>0.5576122404057858</v>
      </c>
      <c r="N129" s="4">
        <f>N128+0.01</f>
        <v>2.2599999999999993</v>
      </c>
      <c r="O129">
        <f t="shared" si="14"/>
        <v>0.4742315600000001</v>
      </c>
    </row>
    <row r="130" spans="1:15" ht="12.75">
      <c r="A130">
        <v>270</v>
      </c>
      <c r="B130">
        <f>(A130-offset1)/gain1</f>
        <v>2.3834509358067515</v>
      </c>
      <c r="C130">
        <v>17121</v>
      </c>
      <c r="D130">
        <v>1953</v>
      </c>
      <c r="E130">
        <v>87</v>
      </c>
      <c r="F130">
        <v>635</v>
      </c>
      <c r="G130">
        <f>corr*(E130+F130)/(D130-14*2)</f>
        <v>0.3770902127600392</v>
      </c>
      <c r="N130" s="4">
        <f>N129+0.01</f>
        <v>2.269999999999999</v>
      </c>
      <c r="O130">
        <f t="shared" si="14"/>
        <v>0.46695449000000033</v>
      </c>
    </row>
    <row r="131" ht="12.75">
      <c r="A131">
        <v>300</v>
      </c>
    </row>
    <row r="135" spans="1:4" ht="12.75">
      <c r="A135" t="s">
        <v>19</v>
      </c>
      <c r="C135" s="3"/>
      <c r="D135" s="3"/>
    </row>
    <row r="137" spans="1:7" ht="12.75">
      <c r="A137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</row>
    <row r="138" spans="1:15" ht="12.75">
      <c r="A138">
        <v>105</v>
      </c>
      <c r="B138">
        <f>(A138-offset1)/gain1</f>
        <v>1.0061851753243483</v>
      </c>
      <c r="D138">
        <v>983</v>
      </c>
      <c r="E138">
        <v>126</v>
      </c>
      <c r="F138">
        <v>776</v>
      </c>
      <c r="G138">
        <f>corr*(E138+F138)/(D138-14)</f>
        <v>0.935882997472755</v>
      </c>
      <c r="N138">
        <v>2.47</v>
      </c>
      <c r="O138">
        <f aca="true" t="shared" si="15" ref="O138:O143">-0.4652*N138^2+1.6321*N138-0.6928</f>
        <v>0.5003483200000002</v>
      </c>
    </row>
    <row r="139" spans="1:15" ht="12.75">
      <c r="A139" s="11">
        <v>120</v>
      </c>
      <c r="B139">
        <f>(A139-offset1)/gain1</f>
        <v>1.1313911535500212</v>
      </c>
      <c r="N139">
        <f>N138+0.01</f>
        <v>2.48</v>
      </c>
      <c r="O139">
        <f t="shared" si="15"/>
        <v>0.49364192000000007</v>
      </c>
    </row>
    <row r="140" spans="1:15" ht="12.75">
      <c r="A140">
        <v>240</v>
      </c>
      <c r="B140">
        <f>(A140-offset1)/gain1</f>
        <v>2.133038979355405</v>
      </c>
      <c r="D140">
        <v>907</v>
      </c>
      <c r="E140">
        <v>77</v>
      </c>
      <c r="F140">
        <v>520</v>
      </c>
      <c r="G140">
        <f>corr*(E140+F140)/(D140-14)</f>
        <v>0.6721429830648906</v>
      </c>
      <c r="N140">
        <f>N139+0.01</f>
        <v>2.4899999999999998</v>
      </c>
      <c r="O140">
        <f t="shared" si="15"/>
        <v>0.4868424800000005</v>
      </c>
    </row>
    <row r="141" spans="1:15" ht="12.75">
      <c r="A141">
        <v>270</v>
      </c>
      <c r="B141">
        <f>(A141-offset1)/gain1</f>
        <v>2.3834509358067515</v>
      </c>
      <c r="D141">
        <v>951</v>
      </c>
      <c r="E141">
        <v>38</v>
      </c>
      <c r="F141">
        <v>479</v>
      </c>
      <c r="G141">
        <f>corr*(E141+F141)/(D141-14)</f>
        <v>0.5547403409155021</v>
      </c>
      <c r="N141">
        <f>N140+0.01</f>
        <v>2.4999999999999996</v>
      </c>
      <c r="O141">
        <f t="shared" si="15"/>
        <v>0.4799500000000002</v>
      </c>
    </row>
    <row r="142" spans="1:15" ht="12.75">
      <c r="A142">
        <v>300</v>
      </c>
      <c r="B142">
        <f>(A142-offset1)/gain1</f>
        <v>2.6338628922580973</v>
      </c>
      <c r="D142">
        <v>1938</v>
      </c>
      <c r="E142">
        <v>55</v>
      </c>
      <c r="F142">
        <v>665</v>
      </c>
      <c r="G142">
        <f>corr*(E142+F142)/(D142-14*2)</f>
        <v>0.37899887955607187</v>
      </c>
      <c r="N142">
        <f>N141+0.01</f>
        <v>2.5099999999999993</v>
      </c>
      <c r="O142">
        <f t="shared" si="15"/>
        <v>0.47296448000000046</v>
      </c>
    </row>
    <row r="143" spans="14:15" ht="12.75">
      <c r="N143">
        <f>N142+0.01</f>
        <v>2.519999999999999</v>
      </c>
      <c r="O143">
        <f t="shared" si="15"/>
        <v>0.4658859200000004</v>
      </c>
    </row>
    <row r="145" spans="1:4" ht="12.75">
      <c r="A145" t="s">
        <v>52</v>
      </c>
      <c r="C145" s="3"/>
      <c r="D145" s="3"/>
    </row>
    <row r="147" spans="1:7" ht="12.7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</row>
    <row r="148" spans="1:7" ht="12.75">
      <c r="A148">
        <v>105</v>
      </c>
      <c r="B148">
        <f aca="true" t="shared" si="16" ref="B148:B153">(A148-offset1)/gain1</f>
        <v>1.0061851753243483</v>
      </c>
      <c r="G148">
        <f>1.019459*(E148+F148)/(D148-14)</f>
        <v>0</v>
      </c>
    </row>
    <row r="149" spans="1:2" ht="12.75">
      <c r="A149" s="11">
        <v>120</v>
      </c>
      <c r="B149">
        <f t="shared" si="16"/>
        <v>1.1313911535500212</v>
      </c>
    </row>
    <row r="150" spans="1:15" ht="12.75">
      <c r="A150">
        <v>240</v>
      </c>
      <c r="B150">
        <f t="shared" si="16"/>
        <v>2.133038979355405</v>
      </c>
      <c r="G150">
        <f>1.019459*(E150+F150)/(D150-14)</f>
        <v>0</v>
      </c>
      <c r="N150">
        <v>2.64</v>
      </c>
      <c r="O150">
        <f>-0.3864*N150+1.5199</f>
        <v>0.4998039999999999</v>
      </c>
    </row>
    <row r="151" spans="1:15" ht="12.75">
      <c r="A151">
        <v>270</v>
      </c>
      <c r="B151">
        <f t="shared" si="16"/>
        <v>2.3834509358067515</v>
      </c>
      <c r="G151">
        <f>1.019459*(E151+F151)/(D151-14)</f>
        <v>0</v>
      </c>
      <c r="N151">
        <f aca="true" t="shared" si="17" ref="N151:N156">N150+0.01</f>
        <v>2.65</v>
      </c>
      <c r="O151">
        <f aca="true" t="shared" si="18" ref="O151:O156">-0.3864*N151+1.5199</f>
        <v>0.49594000000000005</v>
      </c>
    </row>
    <row r="152" spans="1:15" ht="12.75">
      <c r="A152">
        <v>300</v>
      </c>
      <c r="B152">
        <f t="shared" si="16"/>
        <v>2.6338628922580973</v>
      </c>
      <c r="D152">
        <v>953</v>
      </c>
      <c r="E152">
        <v>48</v>
      </c>
      <c r="F152">
        <v>421</v>
      </c>
      <c r="G152">
        <f>corr*(E152+F152)/(D152-14)</f>
        <v>0.5021645460855721</v>
      </c>
      <c r="N152">
        <f t="shared" si="17"/>
        <v>2.6599999999999997</v>
      </c>
      <c r="O152">
        <f t="shared" si="18"/>
        <v>0.4920760000000002</v>
      </c>
    </row>
    <row r="153" spans="1:15" ht="12.75">
      <c r="A153">
        <v>330</v>
      </c>
      <c r="B153">
        <f t="shared" si="16"/>
        <v>2.884274848709443</v>
      </c>
      <c r="D153">
        <v>944</v>
      </c>
      <c r="E153">
        <v>55</v>
      </c>
      <c r="F153">
        <v>320</v>
      </c>
      <c r="G153">
        <f>corr*(E153+F153)/(D153-14)</f>
        <v>0.4054031473746065</v>
      </c>
      <c r="N153">
        <f t="shared" si="17"/>
        <v>2.6699999999999995</v>
      </c>
      <c r="O153">
        <f t="shared" si="18"/>
        <v>0.4882120000000001</v>
      </c>
    </row>
    <row r="154" spans="14:15" ht="12.75">
      <c r="N154">
        <f t="shared" si="17"/>
        <v>2.6799999999999993</v>
      </c>
      <c r="O154">
        <f t="shared" si="18"/>
        <v>0.4843480000000002</v>
      </c>
    </row>
    <row r="155" spans="14:15" ht="12.75">
      <c r="N155">
        <f t="shared" si="17"/>
        <v>2.689999999999999</v>
      </c>
      <c r="O155">
        <f t="shared" si="18"/>
        <v>0.48048400000000036</v>
      </c>
    </row>
    <row r="156" spans="14:15" ht="12.75">
      <c r="N156">
        <f t="shared" si="17"/>
        <v>2.699999999999999</v>
      </c>
      <c r="O156">
        <f t="shared" si="18"/>
        <v>0.4766200000000005</v>
      </c>
    </row>
    <row r="157" spans="1:4" ht="12.75">
      <c r="A157" t="s">
        <v>53</v>
      </c>
      <c r="C157" s="3"/>
      <c r="D157" s="3"/>
    </row>
    <row r="159" spans="1:7" ht="12.7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</row>
    <row r="160" spans="1:7" ht="12.75">
      <c r="A160">
        <v>105</v>
      </c>
      <c r="B160">
        <f aca="true" t="shared" si="19" ref="B160:B165">(A160-offset1)/gain1</f>
        <v>1.0061851753243483</v>
      </c>
      <c r="G160">
        <f>1.019459*(E160+F160)/(D160-14)</f>
        <v>0</v>
      </c>
    </row>
    <row r="161" spans="1:2" ht="12.75">
      <c r="A161" s="11">
        <v>120</v>
      </c>
      <c r="B161">
        <f t="shared" si="19"/>
        <v>1.1313911535500212</v>
      </c>
    </row>
    <row r="162" spans="1:7" ht="12.75">
      <c r="A162">
        <v>240</v>
      </c>
      <c r="B162">
        <f t="shared" si="19"/>
        <v>2.133038979355405</v>
      </c>
      <c r="G162">
        <f>1.019459*(E162+F162)/(D162-14)</f>
        <v>0</v>
      </c>
    </row>
    <row r="163" spans="1:7" ht="12.75">
      <c r="A163">
        <v>270</v>
      </c>
      <c r="B163">
        <f t="shared" si="19"/>
        <v>2.3834509358067515</v>
      </c>
      <c r="G163">
        <f>1.019459*(E163+F163)/(D163-14)</f>
        <v>0</v>
      </c>
    </row>
    <row r="164" spans="1:7" ht="12.75">
      <c r="A164">
        <v>300</v>
      </c>
      <c r="B164">
        <f t="shared" si="19"/>
        <v>2.6338628922580973</v>
      </c>
      <c r="G164">
        <f>1.019459*(E164+F164)/(D164-14)</f>
        <v>0</v>
      </c>
    </row>
    <row r="165" spans="1:7" ht="12.75">
      <c r="A165">
        <v>330</v>
      </c>
      <c r="B165">
        <f t="shared" si="19"/>
        <v>2.884274848709443</v>
      </c>
      <c r="G165">
        <f>1.019459*(E165+F165)/(D165-14)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0"/>
  <sheetViews>
    <sheetView workbookViewId="0" topLeftCell="F63">
      <selection activeCell="O78" sqref="O78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50</v>
      </c>
      <c r="C1" t="s">
        <v>43</v>
      </c>
      <c r="E1" t="s">
        <v>44</v>
      </c>
      <c r="H1" t="s">
        <v>51</v>
      </c>
      <c r="L1" t="s">
        <v>20</v>
      </c>
      <c r="M1" t="s">
        <v>21</v>
      </c>
      <c r="N1" t="s">
        <v>15</v>
      </c>
      <c r="O1" t="s">
        <v>56</v>
      </c>
      <c r="Q1" t="s">
        <v>11</v>
      </c>
      <c r="R1" t="s">
        <v>11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22</v>
      </c>
      <c r="L2">
        <v>40</v>
      </c>
      <c r="M2">
        <f>G16</f>
        <v>0.05353841222983659</v>
      </c>
      <c r="O2">
        <v>1.4</v>
      </c>
      <c r="S2" s="4"/>
      <c r="T2" s="4"/>
      <c r="U2" s="4"/>
      <c r="V2" s="4"/>
      <c r="W2" s="4"/>
      <c r="X2" s="4"/>
      <c r="Y2" s="4"/>
    </row>
    <row r="3" spans="3:25" ht="12.75">
      <c r="C3">
        <v>119.80258620689655</v>
      </c>
      <c r="E3">
        <v>-15.543586206896553</v>
      </c>
      <c r="H3">
        <v>1.005568</v>
      </c>
      <c r="L3">
        <v>60</v>
      </c>
      <c r="M3">
        <f>G24</f>
        <v>0.11453177847439917</v>
      </c>
      <c r="O3">
        <v>1.75</v>
      </c>
      <c r="S3" s="5"/>
      <c r="T3" s="5"/>
      <c r="U3" s="5"/>
      <c r="V3" s="4"/>
      <c r="W3" s="5"/>
      <c r="X3" s="5"/>
      <c r="Y3" s="6"/>
    </row>
    <row r="4" spans="12:25" ht="12.75">
      <c r="L4">
        <v>80</v>
      </c>
      <c r="M4">
        <f>G31</f>
        <v>0.22882422119565213</v>
      </c>
      <c r="O4">
        <v>2.04</v>
      </c>
      <c r="S4" s="5"/>
      <c r="T4" s="5"/>
      <c r="U4" s="5"/>
      <c r="V4" s="4"/>
      <c r="W4" s="5"/>
      <c r="X4" s="5"/>
      <c r="Y4" s="5"/>
    </row>
    <row r="5" spans="12:25" ht="12.75">
      <c r="L5">
        <v>100</v>
      </c>
      <c r="M5">
        <f>G40</f>
        <v>0.4227967482403898</v>
      </c>
      <c r="N5">
        <f>N43</f>
        <v>0.94</v>
      </c>
      <c r="O5">
        <v>2.5</v>
      </c>
      <c r="S5" s="5"/>
      <c r="T5" s="5"/>
      <c r="U5" s="5"/>
      <c r="V5" s="4"/>
      <c r="W5" s="5"/>
      <c r="X5" s="5"/>
      <c r="Y5" s="5"/>
    </row>
    <row r="6" spans="12:25" ht="12.75">
      <c r="L6">
        <v>130</v>
      </c>
      <c r="M6">
        <f>G50</f>
        <v>0.630469285101822</v>
      </c>
      <c r="N6">
        <f>N52</f>
        <v>1.13</v>
      </c>
      <c r="O6">
        <v>2.8</v>
      </c>
      <c r="S6" s="5"/>
      <c r="T6" s="5"/>
      <c r="U6" s="5"/>
      <c r="V6" s="4"/>
      <c r="W6" s="5"/>
      <c r="X6" s="5"/>
      <c r="Y6" s="5"/>
    </row>
    <row r="7" spans="12:25" ht="12.75">
      <c r="L7">
        <v>160</v>
      </c>
      <c r="M7">
        <f>G62</f>
        <v>0.7661666068424003</v>
      </c>
      <c r="N7" s="4">
        <f>N68</f>
        <v>1.31</v>
      </c>
      <c r="O7">
        <v>3.05</v>
      </c>
      <c r="S7" s="5"/>
      <c r="T7" s="5"/>
      <c r="U7" s="5"/>
      <c r="V7" s="4"/>
      <c r="W7" s="5"/>
      <c r="X7" s="5"/>
      <c r="Y7" s="5"/>
    </row>
    <row r="8" spans="12:25" ht="12.75">
      <c r="L8">
        <v>200</v>
      </c>
      <c r="M8">
        <f>G77</f>
        <v>0.8366507147688839</v>
      </c>
      <c r="N8">
        <f>N83</f>
        <v>1.53</v>
      </c>
      <c r="O8">
        <v>3.14</v>
      </c>
      <c r="S8" s="5"/>
      <c r="T8" s="8"/>
      <c r="U8" s="5"/>
      <c r="V8" s="4"/>
      <c r="W8" s="5"/>
      <c r="X8" s="5"/>
      <c r="Y8" s="5"/>
    </row>
    <row r="9" spans="12:25" ht="12.75">
      <c r="L9">
        <v>250</v>
      </c>
      <c r="M9">
        <f>G92</f>
        <v>0.8775003773584905</v>
      </c>
      <c r="N9">
        <f>N99</f>
        <v>1.76</v>
      </c>
      <c r="O9" s="4">
        <v>3.75</v>
      </c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300</v>
      </c>
      <c r="M10">
        <f>G107</f>
        <v>0.9205083661645423</v>
      </c>
      <c r="N10" s="4">
        <f>N111</f>
        <v>2.06</v>
      </c>
      <c r="O10" s="12">
        <v>4.67</v>
      </c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350</v>
      </c>
      <c r="M11">
        <f>G121</f>
        <v>0.9350417375565612</v>
      </c>
      <c r="N11" s="4">
        <f>N120</f>
        <v>2.31</v>
      </c>
      <c r="O11" s="12">
        <v>5.46</v>
      </c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400</v>
      </c>
      <c r="M12">
        <f>G133</f>
        <v>0.9195654736842106</v>
      </c>
      <c r="N12" s="4">
        <f>N133</f>
        <v>2.64</v>
      </c>
      <c r="O12" s="12">
        <v>6.45</v>
      </c>
      <c r="P12" s="4"/>
      <c r="Q12" s="4"/>
      <c r="S12" s="4"/>
      <c r="T12" s="4"/>
      <c r="U12" s="4"/>
      <c r="V12" s="4"/>
      <c r="W12" s="4"/>
      <c r="X12" s="4"/>
      <c r="Y12" s="4"/>
    </row>
    <row r="13" spans="1:25" ht="12.75">
      <c r="A13" t="s">
        <v>7</v>
      </c>
      <c r="B13" t="s">
        <v>17</v>
      </c>
      <c r="L13">
        <v>450</v>
      </c>
      <c r="N13" s="4">
        <f>N145</f>
        <v>2.76</v>
      </c>
      <c r="O13" s="12">
        <v>7.4</v>
      </c>
      <c r="P13" s="4"/>
      <c r="Q13" s="4"/>
      <c r="S13" s="4"/>
      <c r="T13" s="4"/>
      <c r="U13" s="4"/>
      <c r="V13" s="4"/>
      <c r="W13" s="4"/>
      <c r="X13" s="4"/>
      <c r="Y13" s="4"/>
    </row>
    <row r="14" spans="12:17" ht="12.75">
      <c r="L14">
        <v>500</v>
      </c>
      <c r="N14" s="4">
        <f>N156</f>
        <v>2.91</v>
      </c>
      <c r="O14" s="4"/>
      <c r="P14" s="4"/>
      <c r="Q14" s="4"/>
    </row>
    <row r="15" spans="1:17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N15" s="4"/>
      <c r="O15" s="4"/>
      <c r="P15" s="4"/>
      <c r="Q15" s="4"/>
    </row>
    <row r="16" spans="1:17" ht="12.75">
      <c r="A16">
        <v>105</v>
      </c>
      <c r="B16">
        <f>(A16-offset1)/gain1</f>
        <v>1.0061851753243483</v>
      </c>
      <c r="C16">
        <v>9278</v>
      </c>
      <c r="D16">
        <v>1911</v>
      </c>
      <c r="F16">
        <v>101</v>
      </c>
      <c r="G16">
        <f>corr*(E16+F16)/(D16-14)</f>
        <v>0.05353841222983659</v>
      </c>
      <c r="N16" s="4"/>
      <c r="O16" s="7"/>
      <c r="P16" s="5"/>
      <c r="Q16" s="4"/>
    </row>
    <row r="17" spans="14:17" ht="12.75">
      <c r="N17" s="5"/>
      <c r="O17" s="7"/>
      <c r="P17" s="4"/>
      <c r="Q17" s="4"/>
    </row>
    <row r="18" spans="14:17" ht="12.75">
      <c r="N18" s="4"/>
      <c r="O18" s="4"/>
      <c r="P18" s="4"/>
      <c r="Q18" s="4"/>
    </row>
    <row r="19" spans="14:17" ht="12.75"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8</v>
      </c>
      <c r="N21" s="4"/>
      <c r="O21" s="4"/>
      <c r="P21" s="4"/>
      <c r="Q21" s="4"/>
    </row>
    <row r="22" spans="14:17" ht="12.75">
      <c r="N22" s="4"/>
      <c r="O22" s="4"/>
      <c r="P22" s="4"/>
      <c r="Q22" s="4"/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N23" s="4"/>
      <c r="O23" s="4"/>
      <c r="P23" s="4"/>
      <c r="Q23" s="4"/>
    </row>
    <row r="24" spans="1:17" ht="12.75">
      <c r="A24" s="1">
        <v>105</v>
      </c>
      <c r="B24">
        <f>(A24-offset1)/gain1</f>
        <v>1.0061851753243483</v>
      </c>
      <c r="C24">
        <v>14050</v>
      </c>
      <c r="D24">
        <v>1942</v>
      </c>
      <c r="F24">
        <v>218</v>
      </c>
      <c r="G24">
        <f>corr*(E24+F24)/(D24-14*2)</f>
        <v>0.11453177847439917</v>
      </c>
      <c r="N24" s="4"/>
      <c r="O24" s="4"/>
      <c r="P24" s="4"/>
      <c r="Q24" s="4"/>
    </row>
    <row r="25" spans="14:17" ht="12.75">
      <c r="N25" s="4"/>
      <c r="O25" s="4"/>
      <c r="P25" s="4"/>
      <c r="Q25" s="4"/>
    </row>
    <row r="26" spans="14:17" ht="12.75">
      <c r="N26" s="4"/>
      <c r="O26" s="4"/>
      <c r="P26" s="4"/>
      <c r="Q26" s="4"/>
    </row>
    <row r="27" spans="14:17" ht="12.75">
      <c r="N27" s="4"/>
      <c r="O27" s="4"/>
      <c r="P27" s="4"/>
      <c r="Q27" s="4"/>
    </row>
    <row r="28" spans="1:17" ht="12.75">
      <c r="A28" t="s">
        <v>9</v>
      </c>
      <c r="B28" t="s">
        <v>47</v>
      </c>
      <c r="N28" s="4"/>
      <c r="O28" s="4"/>
      <c r="P28" s="4"/>
      <c r="Q28" s="4"/>
    </row>
    <row r="29" spans="14:17" ht="12.75">
      <c r="N29" s="4"/>
      <c r="O29" s="4"/>
      <c r="P29" s="4"/>
      <c r="Q29" s="4"/>
    </row>
    <row r="30" spans="1:1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N30" s="4">
        <v>0.85</v>
      </c>
      <c r="O30" s="4">
        <f>2.7879*N30^2-6.5827*N30+4.108</f>
        <v>0.5269627499999991</v>
      </c>
      <c r="P30" s="4"/>
      <c r="Q30" s="4"/>
    </row>
    <row r="31" spans="1:17" ht="12.75">
      <c r="A31">
        <v>105</v>
      </c>
      <c r="B31">
        <f>(A31-offset1)/gain1</f>
        <v>1.0061851753243483</v>
      </c>
      <c r="C31">
        <v>28819</v>
      </c>
      <c r="D31">
        <v>1868</v>
      </c>
      <c r="F31">
        <v>413</v>
      </c>
      <c r="G31">
        <f>1.019459*(E31+F31)/(D31-14*2)</f>
        <v>0.22882422119565213</v>
      </c>
      <c r="N31" s="4" t="e">
        <f>#REF!+0.01</f>
        <v>#REF!</v>
      </c>
      <c r="O31" s="4" t="e">
        <f>2.7879*N31^2-6.5827*N31+4.108</f>
        <v>#REF!</v>
      </c>
      <c r="P31" s="4"/>
      <c r="Q31" s="4"/>
    </row>
    <row r="32" spans="16:17" ht="12.75">
      <c r="P32" s="4"/>
      <c r="Q32" s="4"/>
    </row>
    <row r="33" spans="16:17" ht="12.75">
      <c r="P33" s="4"/>
      <c r="Q33" s="4"/>
    </row>
    <row r="36" spans="1:4" ht="12.75">
      <c r="A36" t="s">
        <v>10</v>
      </c>
      <c r="B36" t="s">
        <v>47</v>
      </c>
      <c r="C36" s="3"/>
      <c r="D36" s="3"/>
    </row>
    <row r="38" spans="1:7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</row>
    <row r="39" spans="1:7" ht="12.75">
      <c r="A39">
        <v>85</v>
      </c>
      <c r="B39">
        <f>(A39-offset1)/gain1</f>
        <v>0.8392438710234509</v>
      </c>
      <c r="C39">
        <v>911829</v>
      </c>
      <c r="D39">
        <v>1851</v>
      </c>
      <c r="F39">
        <v>1109</v>
      </c>
      <c r="G39">
        <f>1.019459*(E39+F39)/(D39-14*2)</f>
        <v>0.6201755518376303</v>
      </c>
    </row>
    <row r="40" spans="1:15" ht="12.75">
      <c r="A40" s="1">
        <v>105</v>
      </c>
      <c r="B40">
        <f>(A40-offset1)/gain1</f>
        <v>1.0061851753243483</v>
      </c>
      <c r="C40">
        <v>53955</v>
      </c>
      <c r="D40">
        <v>1875</v>
      </c>
      <c r="F40">
        <v>766</v>
      </c>
      <c r="G40">
        <f>1.019459*(E40+F40)/(D40-14*2)</f>
        <v>0.4227967482403898</v>
      </c>
      <c r="N40" s="4">
        <v>0.93</v>
      </c>
      <c r="O40">
        <f aca="true" t="shared" si="0" ref="O40:O45">0.8327*N40^2-2.719*N40+2.3156</f>
        <v>0.5071322299999999</v>
      </c>
    </row>
    <row r="41" spans="1:15" ht="12.75">
      <c r="A41">
        <v>120</v>
      </c>
      <c r="B41">
        <f>(A41-offset1)/gain1</f>
        <v>1.1313911535500212</v>
      </c>
      <c r="C41">
        <v>22037</v>
      </c>
      <c r="D41">
        <v>1845</v>
      </c>
      <c r="F41">
        <v>544</v>
      </c>
      <c r="G41">
        <f>1.019459*(E41+F41)/(D41-14*2)</f>
        <v>0.3052205261419923</v>
      </c>
      <c r="N41" s="4">
        <f>N40+0.01</f>
        <v>0.9400000000000001</v>
      </c>
      <c r="O41">
        <f t="shared" si="0"/>
        <v>0.49551371999999994</v>
      </c>
    </row>
    <row r="42" spans="1:15" ht="12.75">
      <c r="A42">
        <v>150</v>
      </c>
      <c r="B42">
        <f>(A42-offset1)/gain1</f>
        <v>1.3818031100013672</v>
      </c>
      <c r="G42">
        <f>1.019459*(E42+F42)/(D42-14*2)</f>
        <v>0</v>
      </c>
      <c r="N42" s="4">
        <f>N41+0.01</f>
        <v>0.9500000000000001</v>
      </c>
      <c r="O42">
        <f t="shared" si="0"/>
        <v>0.48406174999999996</v>
      </c>
    </row>
    <row r="43" spans="14:16" ht="12.75">
      <c r="N43" s="5">
        <v>0.94</v>
      </c>
      <c r="O43">
        <f t="shared" si="0"/>
        <v>0.4955137200000004</v>
      </c>
      <c r="P43" s="2"/>
    </row>
    <row r="44" spans="14:15" ht="12.75">
      <c r="N44" s="4">
        <f>N43+0.01</f>
        <v>0.95</v>
      </c>
      <c r="O44">
        <f t="shared" si="0"/>
        <v>0.4840617500000002</v>
      </c>
    </row>
    <row r="45" spans="14:15" ht="12.75">
      <c r="N45" s="4">
        <f>N44+0.01</f>
        <v>0.96</v>
      </c>
      <c r="O45">
        <f t="shared" si="0"/>
        <v>0.47277632000000014</v>
      </c>
    </row>
    <row r="47" spans="1:4" ht="12.75">
      <c r="A47" t="s">
        <v>45</v>
      </c>
      <c r="C47" s="3"/>
      <c r="D47" s="3"/>
    </row>
    <row r="49" spans="1:7" ht="12.7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</row>
    <row r="50" spans="1:7" ht="12.75">
      <c r="A50">
        <v>105</v>
      </c>
      <c r="B50">
        <f>(A50-offset1)/gain1</f>
        <v>1.0061851753243483</v>
      </c>
      <c r="C50">
        <v>174714</v>
      </c>
      <c r="D50">
        <v>1894</v>
      </c>
      <c r="F50">
        <v>1154</v>
      </c>
      <c r="G50">
        <f>1.019459*(E50+F50)/(D50-14*2)</f>
        <v>0.630469285101822</v>
      </c>
    </row>
    <row r="51" spans="1:15" ht="12.75">
      <c r="A51">
        <v>120</v>
      </c>
      <c r="B51">
        <f>(A51-offset1)/gain1</f>
        <v>1.1313911535500212</v>
      </c>
      <c r="C51">
        <v>33938</v>
      </c>
      <c r="D51">
        <v>1855</v>
      </c>
      <c r="F51">
        <v>899</v>
      </c>
      <c r="G51">
        <f>1.019459*(E51+F51)/(D51-14*2)</f>
        <v>0.5016385555555555</v>
      </c>
      <c r="N51">
        <v>1.17</v>
      </c>
      <c r="O51">
        <f>1.1388*N51^3-4.1427*N51^2+4.1825*N51-0.5486</f>
        <v>0.4978998544000013</v>
      </c>
    </row>
    <row r="52" spans="1:15" ht="12.75">
      <c r="A52">
        <v>150</v>
      </c>
      <c r="B52">
        <f>(A52-offset1)/gain1</f>
        <v>1.3818031100013672</v>
      </c>
      <c r="C52">
        <v>16137</v>
      </c>
      <c r="D52">
        <v>1844</v>
      </c>
      <c r="F52">
        <v>516</v>
      </c>
      <c r="G52">
        <f>1.019459*(E52+F52)/(D52-14*2)</f>
        <v>0.2896700682819383</v>
      </c>
      <c r="N52" s="5">
        <v>1.13</v>
      </c>
      <c r="O52">
        <f>-0.0452*N52^3+0.645*N52^2-2.2525*N52+2.29</f>
        <v>0.5030565556000002</v>
      </c>
    </row>
    <row r="53" spans="1:15" ht="12.75">
      <c r="A53">
        <v>180</v>
      </c>
      <c r="B53">
        <f>(A53-offset1)/gain1</f>
        <v>1.632215066452713</v>
      </c>
      <c r="C53">
        <v>11943</v>
      </c>
      <c r="D53">
        <v>1779</v>
      </c>
      <c r="F53">
        <v>232</v>
      </c>
      <c r="G53">
        <f>1.019459*(E53+F53)/(D53-14*2)</f>
        <v>0.13507395088520843</v>
      </c>
      <c r="N53" s="4">
        <f>N52+0.01</f>
        <v>1.14</v>
      </c>
      <c r="O53">
        <f>-0.0452*N53^3+0.645*N53^2-2.2525*N53+2.29</f>
        <v>0.4934262112000005</v>
      </c>
    </row>
    <row r="54" spans="14:15" ht="12.75">
      <c r="N54" s="4">
        <f>N53+0.01</f>
        <v>1.15</v>
      </c>
      <c r="O54">
        <f>-0.0452*N54^3+0.645*N54^2-2.2525*N54+2.29</f>
        <v>0.48389395000000013</v>
      </c>
    </row>
    <row r="55" spans="14:15" ht="12.75">
      <c r="N55" s="4">
        <f>N54+0.01</f>
        <v>1.16</v>
      </c>
      <c r="O55">
        <f>-0.0452*N55^3+0.645*N55^2-2.2525*N55+2.29</f>
        <v>0.4744595008000003</v>
      </c>
    </row>
    <row r="56" spans="14:15" ht="12.75">
      <c r="N56" s="4">
        <f>N55+0.01</f>
        <v>1.17</v>
      </c>
      <c r="O56">
        <f>-0.0452*N56^3+0.645*N56^2-2.2525*N56+2.29</f>
        <v>0.4651225924000002</v>
      </c>
    </row>
    <row r="59" spans="1:4" ht="12.75">
      <c r="A59" t="s">
        <v>46</v>
      </c>
      <c r="C59" s="3"/>
      <c r="D59" s="3"/>
    </row>
    <row r="61" spans="1:7" ht="12.7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</row>
    <row r="62" spans="1:15" ht="12.75">
      <c r="A62" s="11">
        <v>105</v>
      </c>
      <c r="B62">
        <f>(A62-offset1)/gain1</f>
        <v>1.0061851753243483</v>
      </c>
      <c r="C62">
        <v>226292</v>
      </c>
      <c r="D62">
        <v>1811</v>
      </c>
      <c r="E62">
        <v>184</v>
      </c>
      <c r="F62">
        <v>1156</v>
      </c>
      <c r="G62">
        <f>1.019459*(E62+F62)/(D62-14*2)</f>
        <v>0.7661666068424003</v>
      </c>
      <c r="N62">
        <v>1.3</v>
      </c>
      <c r="O62">
        <f>0.4425*N62^3-1.4841*N62^2+0.7476*N62+1.07</f>
        <v>0.5059235</v>
      </c>
    </row>
    <row r="63" spans="1:15" ht="12.75">
      <c r="A63">
        <v>120</v>
      </c>
      <c r="B63">
        <f>(A63-offset1)/gain1</f>
        <v>1.1313911535500212</v>
      </c>
      <c r="C63">
        <v>56477</v>
      </c>
      <c r="D63">
        <v>1853</v>
      </c>
      <c r="E63">
        <v>139</v>
      </c>
      <c r="F63">
        <v>1054</v>
      </c>
      <c r="G63">
        <f>1.019459*(E63+F63)/(D63-14*2)</f>
        <v>0.6664189517808219</v>
      </c>
      <c r="N63" s="4">
        <f>N62+0.01</f>
        <v>1.31</v>
      </c>
      <c r="O63">
        <f aca="true" t="shared" si="1" ref="O63:O69">0.4425*N63^3-1.4841*N63^2+0.7476*N63+1.07</f>
        <v>0.49727225750000037</v>
      </c>
    </row>
    <row r="64" spans="1:15" ht="12.75">
      <c r="A64">
        <v>150</v>
      </c>
      <c r="B64">
        <f>(A64-offset1)/gain1</f>
        <v>1.3818031100013672</v>
      </c>
      <c r="C64">
        <v>30866</v>
      </c>
      <c r="D64">
        <v>1855</v>
      </c>
      <c r="E64">
        <v>120</v>
      </c>
      <c r="F64">
        <v>646</v>
      </c>
      <c r="G64">
        <f>1.019459*(E64+F64)/(D64-14*2)</f>
        <v>0.4274250651340996</v>
      </c>
      <c r="N64" s="4">
        <f>N63+0.01</f>
        <v>1.32</v>
      </c>
      <c r="O64">
        <f t="shared" si="1"/>
        <v>0.4886720000000002</v>
      </c>
    </row>
    <row r="65" spans="1:15" ht="12.75">
      <c r="A65">
        <v>180</v>
      </c>
      <c r="B65">
        <f>(A65-offset1)/gain1</f>
        <v>1.632215066452713</v>
      </c>
      <c r="C65">
        <v>12994</v>
      </c>
      <c r="D65">
        <v>1846</v>
      </c>
      <c r="E65">
        <v>62</v>
      </c>
      <c r="F65">
        <v>413</v>
      </c>
      <c r="G65">
        <f>1.019459*(E65+F65)/(D65-14*2)</f>
        <v>0.26636029977997794</v>
      </c>
      <c r="N65" s="4">
        <f>N64+0.01</f>
        <v>1.33</v>
      </c>
      <c r="O65">
        <f t="shared" si="1"/>
        <v>0.4801253824999999</v>
      </c>
    </row>
    <row r="66" spans="1:15" ht="12.75">
      <c r="A66">
        <v>210</v>
      </c>
      <c r="B66">
        <f>(A66-offset1)/gain1</f>
        <v>1.8826270229040591</v>
      </c>
      <c r="C66">
        <v>9652</v>
      </c>
      <c r="D66">
        <v>1882</v>
      </c>
      <c r="E66">
        <v>39</v>
      </c>
      <c r="F66">
        <v>268</v>
      </c>
      <c r="G66">
        <f>1.019459*(E66+F66)/(D66-14*2)</f>
        <v>0.16881009331175836</v>
      </c>
      <c r="N66" s="4">
        <f>N65+0.01</f>
        <v>1.34</v>
      </c>
      <c r="O66">
        <f t="shared" si="1"/>
        <v>0.47163505999999966</v>
      </c>
    </row>
    <row r="67" spans="14:15" ht="12.75">
      <c r="N67" s="4">
        <f>N66+0.01</f>
        <v>1.35</v>
      </c>
      <c r="O67">
        <f t="shared" si="1"/>
        <v>0.46320368749999985</v>
      </c>
    </row>
    <row r="68" spans="14:15" ht="12.75">
      <c r="N68" s="5">
        <v>1.31</v>
      </c>
      <c r="O68">
        <f t="shared" si="1"/>
        <v>0.49727225750000037</v>
      </c>
    </row>
    <row r="69" spans="14:15" ht="12.75">
      <c r="N69" s="4">
        <f>N68+0.01</f>
        <v>1.32</v>
      </c>
      <c r="O69">
        <f t="shared" si="1"/>
        <v>0.4886720000000002</v>
      </c>
    </row>
    <row r="70" ht="12.75">
      <c r="N70" s="4"/>
    </row>
    <row r="71" ht="12.75">
      <c r="N71" s="4"/>
    </row>
    <row r="74" spans="1:4" ht="12.75">
      <c r="A74" t="s">
        <v>18</v>
      </c>
      <c r="C74" s="3"/>
      <c r="D74" s="3"/>
    </row>
    <row r="76" spans="1: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</row>
    <row r="77" spans="1:7" ht="12.75">
      <c r="A77">
        <v>105</v>
      </c>
      <c r="B77">
        <f aca="true" t="shared" si="2" ref="B77:B82">(A77-offset1)/gain1</f>
        <v>1.0061851753243483</v>
      </c>
      <c r="C77">
        <v>336720</v>
      </c>
      <c r="D77">
        <v>901</v>
      </c>
      <c r="E77">
        <v>127</v>
      </c>
      <c r="F77">
        <v>611</v>
      </c>
      <c r="G77">
        <f aca="true" t="shared" si="3" ref="G77:G82">corr*(E77+F77)/(D77-14)</f>
        <v>0.8366507147688839</v>
      </c>
    </row>
    <row r="78" spans="1:15" ht="12.75">
      <c r="A78">
        <v>120</v>
      </c>
      <c r="B78">
        <f t="shared" si="2"/>
        <v>1.1313911535500212</v>
      </c>
      <c r="D78">
        <v>887</v>
      </c>
      <c r="E78">
        <v>97</v>
      </c>
      <c r="F78">
        <v>580</v>
      </c>
      <c r="G78">
        <f t="shared" si="3"/>
        <v>0.7798047376861398</v>
      </c>
      <c r="N78">
        <v>1.5</v>
      </c>
      <c r="O78">
        <f>0.4522*N78^3-2.0308*N78^2+2.2961*N78+0.1233</f>
        <v>0.5243250000000002</v>
      </c>
    </row>
    <row r="79" spans="1:15" ht="12.75">
      <c r="A79">
        <v>150</v>
      </c>
      <c r="B79">
        <f t="shared" si="2"/>
        <v>1.3818031100013672</v>
      </c>
      <c r="C79">
        <v>20499</v>
      </c>
      <c r="D79">
        <v>925</v>
      </c>
      <c r="E79">
        <v>89</v>
      </c>
      <c r="F79">
        <v>463</v>
      </c>
      <c r="G79">
        <f t="shared" si="3"/>
        <v>0.6093013567508233</v>
      </c>
      <c r="N79" s="4">
        <f>N78+0.01</f>
        <v>1.51</v>
      </c>
      <c r="O79">
        <f aca="true" t="shared" si="4" ref="O79:O84">0.4522*N79^3-2.0308*N79^2+2.2961*N79+0.1233</f>
        <v>0.5168863621999997</v>
      </c>
    </row>
    <row r="80" spans="1:15" ht="12.75">
      <c r="A80">
        <v>180</v>
      </c>
      <c r="B80">
        <f t="shared" si="2"/>
        <v>1.632215066452713</v>
      </c>
      <c r="C80">
        <v>9588</v>
      </c>
      <c r="D80">
        <v>967</v>
      </c>
      <c r="E80">
        <v>70</v>
      </c>
      <c r="F80">
        <v>335</v>
      </c>
      <c r="G80">
        <f t="shared" si="3"/>
        <v>0.42734002098635887</v>
      </c>
      <c r="N80" s="4">
        <f>N79+0.01</f>
        <v>1.52</v>
      </c>
      <c r="O80">
        <f t="shared" si="4"/>
        <v>0.5094512575999994</v>
      </c>
    </row>
    <row r="81" spans="1:15" ht="12.75">
      <c r="A81">
        <v>210</v>
      </c>
      <c r="B81">
        <f t="shared" si="2"/>
        <v>1.8826270229040591</v>
      </c>
      <c r="C81">
        <v>6459</v>
      </c>
      <c r="D81">
        <v>886</v>
      </c>
      <c r="E81">
        <v>39</v>
      </c>
      <c r="F81">
        <v>192</v>
      </c>
      <c r="G81">
        <f t="shared" si="3"/>
        <v>0.26638326605504586</v>
      </c>
      <c r="N81" s="4">
        <f>N80+0.01</f>
        <v>1.53</v>
      </c>
      <c r="O81">
        <f t="shared" si="4"/>
        <v>0.5020223993999995</v>
      </c>
    </row>
    <row r="82" spans="1:15" ht="12.75">
      <c r="A82">
        <v>240</v>
      </c>
      <c r="B82">
        <f t="shared" si="2"/>
        <v>2.133038979355405</v>
      </c>
      <c r="C82">
        <v>4968</v>
      </c>
      <c r="D82">
        <v>958</v>
      </c>
      <c r="E82">
        <v>31</v>
      </c>
      <c r="F82">
        <v>128</v>
      </c>
      <c r="G82">
        <f t="shared" si="3"/>
        <v>0.16937003389830507</v>
      </c>
      <c r="N82" s="4">
        <f>N81+0.01</f>
        <v>1.54</v>
      </c>
      <c r="O82">
        <f t="shared" si="4"/>
        <v>0.49460250079999973</v>
      </c>
    </row>
    <row r="83" spans="14:15" ht="12.75">
      <c r="N83" s="5">
        <v>1.53</v>
      </c>
      <c r="O83">
        <f t="shared" si="4"/>
        <v>0.5020223993999995</v>
      </c>
    </row>
    <row r="84" spans="14:15" ht="12.75">
      <c r="N84" s="4">
        <f>N83+0.01</f>
        <v>1.54</v>
      </c>
      <c r="O84">
        <f t="shared" si="4"/>
        <v>0.49460250079999973</v>
      </c>
    </row>
    <row r="89" spans="1:4" ht="12.75">
      <c r="A89" t="s">
        <v>12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 s="11">
        <v>105</v>
      </c>
      <c r="B92">
        <f aca="true" t="shared" si="5" ref="B92:B98">(A92-offset1)/gain1</f>
        <v>1.0061851753243483</v>
      </c>
      <c r="C92">
        <v>302739</v>
      </c>
      <c r="D92">
        <v>862</v>
      </c>
      <c r="E92">
        <v>193</v>
      </c>
      <c r="F92">
        <v>547</v>
      </c>
      <c r="G92">
        <f>corr*(E92+F92)/(D92-14)</f>
        <v>0.8775003773584905</v>
      </c>
    </row>
    <row r="93" spans="1:15" ht="12.75">
      <c r="A93" s="11">
        <v>120</v>
      </c>
      <c r="B93" s="11">
        <f t="shared" si="5"/>
        <v>1.1313911535500212</v>
      </c>
      <c r="C93" s="11">
        <v>191561</v>
      </c>
      <c r="D93" s="11">
        <v>844</v>
      </c>
      <c r="E93" s="11">
        <v>158</v>
      </c>
      <c r="F93" s="11">
        <v>520</v>
      </c>
      <c r="G93">
        <f>corr*(E93+F93)/(D93-14)</f>
        <v>0.8214157879518073</v>
      </c>
      <c r="N93">
        <v>1.75</v>
      </c>
      <c r="O93">
        <f>0.4778*N93^3-2.4523*N93^2+3.4987*N93-0.6647</f>
        <v>0.508565625</v>
      </c>
    </row>
    <row r="94" spans="1:15" ht="12.75">
      <c r="A94" s="11">
        <v>150</v>
      </c>
      <c r="B94" s="11">
        <f t="shared" si="5"/>
        <v>1.3818031100013672</v>
      </c>
      <c r="C94" s="11">
        <v>25745</v>
      </c>
      <c r="D94" s="11">
        <v>943</v>
      </c>
      <c r="E94" s="11">
        <v>165</v>
      </c>
      <c r="F94" s="11">
        <v>516</v>
      </c>
      <c r="G94">
        <f>corr*(E94+F94)/(D94-14)</f>
        <v>0.7371278880516685</v>
      </c>
      <c r="N94" s="4">
        <f>N93+0.01</f>
        <v>1.76</v>
      </c>
      <c r="O94">
        <f aca="true" t="shared" si="6" ref="O94:O99">0.4778*N94^3-2.4523*N94^2+3.4987*N94-0.6647</f>
        <v>0.5016260928000004</v>
      </c>
    </row>
    <row r="95" spans="1:15" ht="12.75">
      <c r="A95" s="10">
        <v>180</v>
      </c>
      <c r="B95">
        <f t="shared" si="5"/>
        <v>1.632215066452713</v>
      </c>
      <c r="C95">
        <v>11268</v>
      </c>
      <c r="D95">
        <v>896</v>
      </c>
      <c r="E95">
        <v>144</v>
      </c>
      <c r="F95">
        <v>397</v>
      </c>
      <c r="G95">
        <f>corr*(E95+F95)/(D95-14*2)</f>
        <v>0.626742267281106</v>
      </c>
      <c r="N95" s="4">
        <f>N94+0.01</f>
        <v>1.77</v>
      </c>
      <c r="O95">
        <f t="shared" si="6"/>
        <v>0.49470065739999913</v>
      </c>
    </row>
    <row r="96" spans="1:15" ht="12.75">
      <c r="A96">
        <v>210</v>
      </c>
      <c r="B96">
        <f t="shared" si="5"/>
        <v>1.8826270229040591</v>
      </c>
      <c r="C96">
        <v>9192</v>
      </c>
      <c r="D96">
        <v>895</v>
      </c>
      <c r="E96">
        <v>85</v>
      </c>
      <c r="F96">
        <v>269</v>
      </c>
      <c r="G96">
        <f>corr*(E96+F96)/(D96-14)</f>
        <v>0.4040534301929625</v>
      </c>
      <c r="N96" s="4">
        <f>N95+0.01</f>
        <v>1.78</v>
      </c>
      <c r="O96">
        <f t="shared" si="6"/>
        <v>0.48779218559999993</v>
      </c>
    </row>
    <row r="97" spans="1:15" ht="12.75">
      <c r="A97">
        <v>240</v>
      </c>
      <c r="B97">
        <f t="shared" si="5"/>
        <v>2.133038979355405</v>
      </c>
      <c r="C97">
        <v>6515</v>
      </c>
      <c r="D97">
        <v>917</v>
      </c>
      <c r="E97">
        <v>58</v>
      </c>
      <c r="F97">
        <v>182</v>
      </c>
      <c r="G97">
        <f>corr*(E97+F97)/(D97-14)</f>
        <v>0.26726059800664453</v>
      </c>
      <c r="N97" s="4">
        <f>N96+0.01</f>
        <v>1.79</v>
      </c>
      <c r="O97">
        <f t="shared" si="6"/>
        <v>0.48090354419999926</v>
      </c>
    </row>
    <row r="98" spans="1:15" ht="12.75">
      <c r="A98">
        <v>270</v>
      </c>
      <c r="B98">
        <f t="shared" si="5"/>
        <v>2.3834509358067515</v>
      </c>
      <c r="C98">
        <v>5205</v>
      </c>
      <c r="D98">
        <v>911</v>
      </c>
      <c r="E98">
        <v>41</v>
      </c>
      <c r="F98">
        <v>148</v>
      </c>
      <c r="G98">
        <f>1.019459*(E98+F98)/(D98-14*2)</f>
        <v>0.21820809852774628</v>
      </c>
      <c r="N98" s="4">
        <f>N97+0.01</f>
        <v>1.8</v>
      </c>
      <c r="O98">
        <f t="shared" si="6"/>
        <v>0.47403759999999806</v>
      </c>
    </row>
    <row r="99" spans="14:15" ht="12.75">
      <c r="N99" s="5">
        <v>1.76</v>
      </c>
      <c r="O99">
        <f t="shared" si="6"/>
        <v>0.5016260928000004</v>
      </c>
    </row>
    <row r="104" spans="1:4" ht="12.75">
      <c r="A104" t="s">
        <v>48</v>
      </c>
      <c r="C104" s="3"/>
      <c r="D104" s="3"/>
    </row>
    <row r="106" spans="1:7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</row>
    <row r="107" spans="1:15" ht="12.75">
      <c r="A107">
        <v>105</v>
      </c>
      <c r="B107">
        <f aca="true" t="shared" si="7" ref="B107:B114">(A107-offset1)/gain1</f>
        <v>1.0061851753243483</v>
      </c>
      <c r="D107">
        <v>877</v>
      </c>
      <c r="E107">
        <v>260</v>
      </c>
      <c r="F107">
        <v>530</v>
      </c>
      <c r="G107">
        <f>corr*(E107+F107)/(D107-14)</f>
        <v>0.9205083661645423</v>
      </c>
      <c r="N107">
        <v>2.04</v>
      </c>
      <c r="O107">
        <f>0.5694*N107^3-3.6171*N107^2+7.0556*N107-3.6605</f>
        <v>0.5140153215999996</v>
      </c>
    </row>
    <row r="108" spans="1:15" ht="12.75">
      <c r="A108" s="11">
        <v>120</v>
      </c>
      <c r="B108">
        <f t="shared" si="7"/>
        <v>1.1313911535500212</v>
      </c>
      <c r="G108">
        <f>corr*(E108+F108)/(D108-14)</f>
        <v>0</v>
      </c>
      <c r="N108" s="4">
        <f>N107+0.01</f>
        <v>2.05</v>
      </c>
      <c r="O108">
        <f aca="true" t="shared" si="8" ref="O108:O114">0.5694*N108^3-3.6171*N108^2+7.0556*N108-3.6605</f>
        <v>0.5080694250000013</v>
      </c>
    </row>
    <row r="109" spans="1:15" ht="12.75">
      <c r="A109" s="11">
        <v>150</v>
      </c>
      <c r="B109">
        <f t="shared" si="7"/>
        <v>1.3818031100013672</v>
      </c>
      <c r="G109">
        <f>corr*(E109+F109)/(D109-14)</f>
        <v>0</v>
      </c>
      <c r="N109" s="4">
        <f>N108+0.01</f>
        <v>2.0599999999999996</v>
      </c>
      <c r="O109">
        <f t="shared" si="8"/>
        <v>0.5021004704000029</v>
      </c>
    </row>
    <row r="110" spans="1:15" ht="12.75">
      <c r="A110">
        <v>180</v>
      </c>
      <c r="B110">
        <f t="shared" si="7"/>
        <v>1.632215066452713</v>
      </c>
      <c r="C110">
        <v>36806</v>
      </c>
      <c r="D110">
        <v>1761</v>
      </c>
      <c r="E110">
        <v>379</v>
      </c>
      <c r="F110">
        <v>818</v>
      </c>
      <c r="G110">
        <f>corr*(E110+F110)/(D110-14*2)</f>
        <v>0.6945556237738026</v>
      </c>
      <c r="N110" s="4">
        <f>N109+0.01</f>
        <v>2.0699999999999994</v>
      </c>
      <c r="O110">
        <f t="shared" si="8"/>
        <v>0.49611187419999947</v>
      </c>
    </row>
    <row r="111" spans="1:15" ht="12.75">
      <c r="A111" s="11">
        <v>210</v>
      </c>
      <c r="B111" s="11">
        <f t="shared" si="7"/>
        <v>1.8826270229040591</v>
      </c>
      <c r="C111" s="11">
        <v>20391</v>
      </c>
      <c r="D111" s="11">
        <v>1809</v>
      </c>
      <c r="E111" s="11">
        <v>319</v>
      </c>
      <c r="F111" s="11">
        <v>751</v>
      </c>
      <c r="G111">
        <f>corr*(E111+F111)/(D111-14*2)</f>
        <v>0.6041312521055586</v>
      </c>
      <c r="N111" s="5">
        <v>2.06</v>
      </c>
      <c r="O111">
        <f t="shared" si="8"/>
        <v>0.5021004704000012</v>
      </c>
    </row>
    <row r="112" spans="1:15" ht="12.75">
      <c r="A112">
        <v>240</v>
      </c>
      <c r="B112">
        <f t="shared" si="7"/>
        <v>2.133038979355405</v>
      </c>
      <c r="C112">
        <v>15626</v>
      </c>
      <c r="D112">
        <v>1868</v>
      </c>
      <c r="E112">
        <v>248</v>
      </c>
      <c r="F112">
        <v>583</v>
      </c>
      <c r="G112">
        <f>corr*(E112+F112)/(D112-14*2)</f>
        <v>0.45414511304347827</v>
      </c>
      <c r="N112" s="4">
        <f>N111+0.01</f>
        <v>2.07</v>
      </c>
      <c r="O112">
        <f t="shared" si="8"/>
        <v>0.49611187419999947</v>
      </c>
    </row>
    <row r="113" spans="1:15" ht="12.75">
      <c r="A113">
        <v>270</v>
      </c>
      <c r="B113">
        <f t="shared" si="7"/>
        <v>2.3834509358067515</v>
      </c>
      <c r="C113">
        <v>13239</v>
      </c>
      <c r="D113">
        <v>1770</v>
      </c>
      <c r="E113">
        <v>175</v>
      </c>
      <c r="F113">
        <v>379</v>
      </c>
      <c r="G113">
        <f>corr*(E113+F113)/(D113-14*2)</f>
        <v>0.3197960229621125</v>
      </c>
      <c r="N113" s="4">
        <f>N112+0.01</f>
        <v>2.0799999999999996</v>
      </c>
      <c r="O113">
        <f t="shared" si="8"/>
        <v>0.4901070527999982</v>
      </c>
    </row>
    <row r="114" spans="1:15" ht="12.75">
      <c r="A114">
        <v>300</v>
      </c>
      <c r="B114">
        <f t="shared" si="7"/>
        <v>2.6338628922580973</v>
      </c>
      <c r="C114">
        <v>11247</v>
      </c>
      <c r="D114">
        <v>1753</v>
      </c>
      <c r="E114">
        <v>130</v>
      </c>
      <c r="F114">
        <v>270</v>
      </c>
      <c r="G114">
        <f>corr*(E114+F114)/(D114-14*2)</f>
        <v>0.2331751884057971</v>
      </c>
      <c r="N114" s="4">
        <f>N113+0.01</f>
        <v>2.0899999999999994</v>
      </c>
      <c r="O114">
        <f t="shared" si="8"/>
        <v>0.48408942259999943</v>
      </c>
    </row>
    <row r="118" spans="1:4" ht="12.75">
      <c r="A118" t="s">
        <v>49</v>
      </c>
      <c r="C118" s="3"/>
      <c r="D118" s="3"/>
    </row>
    <row r="120" spans="1:15" ht="12.7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N120">
        <v>2.31</v>
      </c>
      <c r="O120">
        <f aca="true" t="shared" si="9" ref="O120:O125">-0.6027*N120^2+2.4842*N120-2.021</f>
        <v>0.5014345300000005</v>
      </c>
    </row>
    <row r="121" spans="1:15" ht="12.75">
      <c r="A121">
        <v>105</v>
      </c>
      <c r="B121">
        <f aca="true" t="shared" si="10" ref="B121:B126">(A121-offset1)/gain1</f>
        <v>1.0061851753243483</v>
      </c>
      <c r="D121">
        <v>898</v>
      </c>
      <c r="E121">
        <v>111</v>
      </c>
      <c r="F121">
        <v>711</v>
      </c>
      <c r="G121">
        <f>corr*(E121+F121)/(D121-14)</f>
        <v>0.9350417375565612</v>
      </c>
      <c r="N121" s="4">
        <f>N120+0.01</f>
        <v>2.32</v>
      </c>
      <c r="O121">
        <f t="shared" si="9"/>
        <v>0.4983715199999992</v>
      </c>
    </row>
    <row r="122" spans="1:15" ht="12.75">
      <c r="A122" s="11">
        <v>120</v>
      </c>
      <c r="B122">
        <f t="shared" si="10"/>
        <v>1.1313911535500212</v>
      </c>
      <c r="N122" s="4">
        <f>N121+0.01</f>
        <v>2.3299999999999996</v>
      </c>
      <c r="O122">
        <f t="shared" si="9"/>
        <v>0.4951879699999999</v>
      </c>
    </row>
    <row r="123" spans="1:15" ht="12.75">
      <c r="A123" s="10">
        <v>210</v>
      </c>
      <c r="B123">
        <f t="shared" si="10"/>
        <v>1.8826270229040591</v>
      </c>
      <c r="D123">
        <v>924</v>
      </c>
      <c r="E123">
        <v>202</v>
      </c>
      <c r="F123">
        <v>427</v>
      </c>
      <c r="G123">
        <f>corr*(E123+F123)/(D123-14*2)</f>
        <v>0.7059177142857144</v>
      </c>
      <c r="N123" s="4">
        <f>N122+0.01</f>
        <v>2.3399999999999994</v>
      </c>
      <c r="O123">
        <f t="shared" si="9"/>
        <v>0.49188388000000005</v>
      </c>
    </row>
    <row r="124" spans="1:15" ht="12.75">
      <c r="A124" s="10">
        <v>240</v>
      </c>
      <c r="B124">
        <f t="shared" si="10"/>
        <v>2.133038979355405</v>
      </c>
      <c r="D124">
        <v>910</v>
      </c>
      <c r="E124">
        <v>159</v>
      </c>
      <c r="F124">
        <v>311</v>
      </c>
      <c r="G124">
        <f>corr*(E124+F124)/(D124-14*2)</f>
        <v>0.5358468934240362</v>
      </c>
      <c r="N124" s="4">
        <f>N123+0.01</f>
        <v>2.349999999999999</v>
      </c>
      <c r="O124">
        <f t="shared" si="9"/>
        <v>0.48845925</v>
      </c>
    </row>
    <row r="125" spans="1:15" ht="12.75">
      <c r="A125" s="10">
        <v>270</v>
      </c>
      <c r="B125">
        <f t="shared" si="10"/>
        <v>2.3834509358067515</v>
      </c>
      <c r="D125">
        <v>883</v>
      </c>
      <c r="E125">
        <v>138</v>
      </c>
      <c r="F125">
        <v>267</v>
      </c>
      <c r="G125">
        <f>corr*(E125+F125)/(D125-14*2)</f>
        <v>0.47632168421052634</v>
      </c>
      <c r="N125" s="4">
        <f>N124+0.01</f>
        <v>2.359999999999999</v>
      </c>
      <c r="O125">
        <f t="shared" si="9"/>
        <v>0.4849140800000007</v>
      </c>
    </row>
    <row r="126" spans="1:7" ht="12.75">
      <c r="A126" s="10">
        <v>300</v>
      </c>
      <c r="B126">
        <f t="shared" si="10"/>
        <v>2.6338628922580973</v>
      </c>
      <c r="D126">
        <v>918</v>
      </c>
      <c r="E126">
        <v>104</v>
      </c>
      <c r="F126">
        <v>198</v>
      </c>
      <c r="G126">
        <f>corr*(E126+F126)/(D126-14*2)</f>
        <v>0.34121520898876406</v>
      </c>
    </row>
    <row r="130" spans="1:4" ht="12.75">
      <c r="A130" t="s">
        <v>19</v>
      </c>
      <c r="C130" s="3"/>
      <c r="D130" s="3"/>
    </row>
    <row r="132" spans="1: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</row>
    <row r="133" spans="1:15" ht="12.75">
      <c r="A133">
        <v>105</v>
      </c>
      <c r="B133">
        <f aca="true" t="shared" si="11" ref="B133:B138">(A133-offset1)/gain1</f>
        <v>1.0061851753243483</v>
      </c>
      <c r="D133">
        <v>926</v>
      </c>
      <c r="E133">
        <v>111</v>
      </c>
      <c r="F133">
        <v>723</v>
      </c>
      <c r="G133">
        <f>corr*(E133+F133)/(D133-14)</f>
        <v>0.9195654736842106</v>
      </c>
      <c r="N133">
        <v>2.64</v>
      </c>
      <c r="O133">
        <f aca="true" t="shared" si="12" ref="O133:O138">-0.5652*N133+1.9903</f>
        <v>0.49817199999999984</v>
      </c>
    </row>
    <row r="134" spans="1:15" ht="12.75">
      <c r="A134" s="11">
        <v>120</v>
      </c>
      <c r="B134">
        <f t="shared" si="11"/>
        <v>1.1313911535500212</v>
      </c>
      <c r="N134">
        <f>N133+0.01</f>
        <v>2.65</v>
      </c>
      <c r="O134">
        <f t="shared" si="12"/>
        <v>0.49251999999999985</v>
      </c>
    </row>
    <row r="135" spans="1:15" ht="12.75">
      <c r="A135">
        <v>240</v>
      </c>
      <c r="B135">
        <f t="shared" si="11"/>
        <v>2.133038979355405</v>
      </c>
      <c r="G135">
        <f>corr*(E135+F135)/(D135-14)</f>
        <v>0</v>
      </c>
      <c r="N135">
        <f>N134+0.01</f>
        <v>2.6599999999999997</v>
      </c>
      <c r="O135">
        <f t="shared" si="12"/>
        <v>0.4868680000000001</v>
      </c>
    </row>
    <row r="136" spans="1:15" ht="12.75">
      <c r="A136">
        <v>270</v>
      </c>
      <c r="B136">
        <f t="shared" si="11"/>
        <v>2.3834509358067515</v>
      </c>
      <c r="G136">
        <f>corr*(E136+F136)/(D136-14)</f>
        <v>0</v>
      </c>
      <c r="N136">
        <f>N135+0.01</f>
        <v>2.6699999999999995</v>
      </c>
      <c r="O136">
        <f t="shared" si="12"/>
        <v>0.4812160000000001</v>
      </c>
    </row>
    <row r="137" spans="1:15" ht="12.75">
      <c r="A137">
        <v>300</v>
      </c>
      <c r="B137">
        <f t="shared" si="11"/>
        <v>2.6338628922580973</v>
      </c>
      <c r="D137">
        <v>912</v>
      </c>
      <c r="E137">
        <v>152</v>
      </c>
      <c r="F137">
        <v>289</v>
      </c>
      <c r="G137">
        <f>corr*(E137+F137)/(D137-14*2)</f>
        <v>0.501646479638009</v>
      </c>
      <c r="N137">
        <f>N136+0.01</f>
        <v>2.6799999999999993</v>
      </c>
      <c r="O137">
        <f t="shared" si="12"/>
        <v>0.4755640000000003</v>
      </c>
    </row>
    <row r="138" spans="1:15" ht="12.75">
      <c r="A138">
        <v>330</v>
      </c>
      <c r="B138">
        <f t="shared" si="11"/>
        <v>2.884274848709443</v>
      </c>
      <c r="D138">
        <v>902</v>
      </c>
      <c r="E138">
        <v>112</v>
      </c>
      <c r="F138">
        <v>201</v>
      </c>
      <c r="G138">
        <f>corr*(E138+F138)/(D138-14*2)</f>
        <v>0.36011760183066366</v>
      </c>
      <c r="N138">
        <f>N137+0.01</f>
        <v>2.689999999999999</v>
      </c>
      <c r="O138">
        <f t="shared" si="12"/>
        <v>0.46991200000000033</v>
      </c>
    </row>
    <row r="140" spans="1:4" ht="12.75">
      <c r="A140" t="s">
        <v>52</v>
      </c>
      <c r="C140" s="3"/>
      <c r="D140" s="3"/>
    </row>
    <row r="142" spans="1:7" ht="12.7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</row>
    <row r="143" spans="1:7" ht="12.75">
      <c r="A143">
        <v>105</v>
      </c>
      <c r="B143">
        <f aca="true" t="shared" si="13" ref="B143:B148">(A143-offset1)/gain1</f>
        <v>1.0061851753243483</v>
      </c>
      <c r="G143">
        <f>1.019459*(E143+F143)/(D143-14)</f>
        <v>0</v>
      </c>
    </row>
    <row r="144" spans="1:2" ht="12.75">
      <c r="A144" s="11">
        <v>120</v>
      </c>
      <c r="B144">
        <f t="shared" si="13"/>
        <v>1.1313911535500212</v>
      </c>
    </row>
    <row r="145" spans="1:15" ht="12.75">
      <c r="A145">
        <v>240</v>
      </c>
      <c r="B145">
        <f t="shared" si="13"/>
        <v>2.133038979355405</v>
      </c>
      <c r="G145">
        <f>1.019459*(E145+F145)/(D145-14)</f>
        <v>0</v>
      </c>
      <c r="N145">
        <v>2.76</v>
      </c>
      <c r="O145">
        <f>-0.2913*N145+1.3043</f>
        <v>0.5003120000000001</v>
      </c>
    </row>
    <row r="146" spans="1:15" ht="12.75">
      <c r="A146">
        <v>270</v>
      </c>
      <c r="B146">
        <f t="shared" si="13"/>
        <v>2.3834509358067515</v>
      </c>
      <c r="G146">
        <f>1.019459*(E146+F146)/(D146-14)</f>
        <v>0</v>
      </c>
      <c r="N146">
        <f aca="true" t="shared" si="14" ref="N146:N151">N145+0.01</f>
        <v>2.7699999999999996</v>
      </c>
      <c r="O146">
        <f aca="true" t="shared" si="15" ref="O146:O151">-0.2913*N146+1.3043</f>
        <v>0.49739900000000015</v>
      </c>
    </row>
    <row r="147" spans="1:15" ht="12.75">
      <c r="A147">
        <v>310</v>
      </c>
      <c r="B147">
        <f t="shared" si="13"/>
        <v>2.717333544408546</v>
      </c>
      <c r="D147">
        <v>887</v>
      </c>
      <c r="E147">
        <v>149</v>
      </c>
      <c r="F147">
        <v>296</v>
      </c>
      <c r="G147">
        <f>corr*(E147+F147)/(D147-14)</f>
        <v>0.5125747537227949</v>
      </c>
      <c r="N147">
        <f t="shared" si="14"/>
        <v>2.7799999999999994</v>
      </c>
      <c r="O147">
        <f t="shared" si="15"/>
        <v>0.4944860000000002</v>
      </c>
    </row>
    <row r="148" spans="1:15" ht="12.75">
      <c r="A148">
        <v>330</v>
      </c>
      <c r="B148">
        <f t="shared" si="13"/>
        <v>2.884274848709443</v>
      </c>
      <c r="D148">
        <v>920</v>
      </c>
      <c r="E148">
        <v>166</v>
      </c>
      <c r="F148">
        <v>252</v>
      </c>
      <c r="G148">
        <f>corr*(E148+F148)/(D148-14)</f>
        <v>0.4639375540838852</v>
      </c>
      <c r="N148">
        <f t="shared" si="14"/>
        <v>2.789999999999999</v>
      </c>
      <c r="O148">
        <f t="shared" si="15"/>
        <v>0.49157300000000026</v>
      </c>
    </row>
    <row r="149" spans="14:15" ht="12.75">
      <c r="N149">
        <f t="shared" si="14"/>
        <v>2.799999999999999</v>
      </c>
      <c r="O149">
        <f t="shared" si="15"/>
        <v>0.4886600000000003</v>
      </c>
    </row>
    <row r="150" spans="14:15" ht="12.75">
      <c r="N150">
        <f t="shared" si="14"/>
        <v>2.8099999999999987</v>
      </c>
      <c r="O150">
        <f t="shared" si="15"/>
        <v>0.4857470000000004</v>
      </c>
    </row>
    <row r="151" spans="14:15" ht="12.75">
      <c r="N151">
        <f t="shared" si="14"/>
        <v>2.8199999999999985</v>
      </c>
      <c r="O151">
        <f t="shared" si="15"/>
        <v>0.48283400000000043</v>
      </c>
    </row>
    <row r="152" spans="1:4" ht="12.75">
      <c r="A152" t="s">
        <v>53</v>
      </c>
      <c r="C152" s="3"/>
      <c r="D152" s="3"/>
    </row>
    <row r="154" spans="1:7" ht="12.75">
      <c r="A154" t="s">
        <v>0</v>
      </c>
      <c r="B154" t="s">
        <v>1</v>
      </c>
      <c r="C154" t="s">
        <v>2</v>
      </c>
      <c r="D154" t="s">
        <v>3</v>
      </c>
      <c r="E154" t="s">
        <v>4</v>
      </c>
      <c r="F154" t="s">
        <v>5</v>
      </c>
      <c r="G154" t="s">
        <v>6</v>
      </c>
    </row>
    <row r="155" spans="1:7" ht="12.75">
      <c r="A155">
        <v>105</v>
      </c>
      <c r="B155">
        <f>(A155-offset1)/gain1</f>
        <v>1.0061851753243483</v>
      </c>
      <c r="G155">
        <f>1.019459*(E155+F155)/(D155-14)</f>
        <v>0</v>
      </c>
    </row>
    <row r="156" spans="1:15" ht="12.75">
      <c r="A156">
        <v>270</v>
      </c>
      <c r="B156">
        <f>(A156-offset1)/gain1</f>
        <v>2.3834509358067515</v>
      </c>
      <c r="G156">
        <f>1.019459*(E156+F156)/(D156-14)</f>
        <v>0</v>
      </c>
      <c r="N156">
        <v>2.91</v>
      </c>
      <c r="O156">
        <f>0.0306*N156^2-0.7008*N156+2.2826</f>
        <v>0.5023958599999998</v>
      </c>
    </row>
    <row r="157" spans="1:15" ht="12.75">
      <c r="A157">
        <v>300</v>
      </c>
      <c r="B157">
        <f>(A157-offset1)/gain1</f>
        <v>2.6338628922580973</v>
      </c>
      <c r="D157">
        <v>983</v>
      </c>
      <c r="E157">
        <v>82</v>
      </c>
      <c r="F157">
        <v>535</v>
      </c>
      <c r="G157">
        <f>1.019459*(E157+F157)/(D157-14)</f>
        <v>0.6491292084623322</v>
      </c>
      <c r="N157">
        <f>N156+0.01</f>
        <v>2.92</v>
      </c>
      <c r="O157">
        <f>0.0306*N157^2-0.7008*N157+2.2826</f>
        <v>0.49717184000000025</v>
      </c>
    </row>
    <row r="158" spans="1:15" ht="12.75">
      <c r="A158">
        <v>330</v>
      </c>
      <c r="B158">
        <f>(A158-offset1)/gain1</f>
        <v>2.884274848709443</v>
      </c>
      <c r="D158">
        <v>915</v>
      </c>
      <c r="E158">
        <v>46</v>
      </c>
      <c r="F158">
        <v>410</v>
      </c>
      <c r="G158">
        <f>1.019459*(E158+F158)/(D158-14)</f>
        <v>0.5159526126526082</v>
      </c>
      <c r="N158">
        <f>N157+0.01</f>
        <v>2.9299999999999997</v>
      </c>
      <c r="O158">
        <f>0.0306*N158^2-0.7008*N158+2.2826</f>
        <v>0.49195394000000015</v>
      </c>
    </row>
    <row r="159" spans="1:15" ht="12.75">
      <c r="A159">
        <v>360</v>
      </c>
      <c r="B159">
        <f>(A159-offset1)/gain1</f>
        <v>3.134686805160789</v>
      </c>
      <c r="D159">
        <v>958</v>
      </c>
      <c r="E159">
        <v>43</v>
      </c>
      <c r="F159">
        <v>315</v>
      </c>
      <c r="G159">
        <f>1.019459*(E159+F159)/(D159-14)</f>
        <v>0.38661686652542365</v>
      </c>
      <c r="N159">
        <f>N158+0.01</f>
        <v>2.9399999999999995</v>
      </c>
      <c r="O159">
        <f>0.0306*N159^2-0.7008*N159+2.2826</f>
        <v>0.48674216000000037</v>
      </c>
    </row>
    <row r="160" spans="14:15" ht="12.75">
      <c r="N160">
        <f>N159+0.01</f>
        <v>2.9499999999999993</v>
      </c>
      <c r="O160">
        <f>0.0306*N160^2-0.7008*N160+2.2826</f>
        <v>0.48153650000000026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6"/>
  <sheetViews>
    <sheetView workbookViewId="0" topLeftCell="H136">
      <selection activeCell="O157" sqref="O157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50</v>
      </c>
      <c r="C1" t="s">
        <v>43</v>
      </c>
      <c r="E1" t="s">
        <v>44</v>
      </c>
      <c r="H1" t="s">
        <v>51</v>
      </c>
      <c r="L1" t="s">
        <v>20</v>
      </c>
      <c r="M1" t="s">
        <v>21</v>
      </c>
      <c r="N1" t="s">
        <v>15</v>
      </c>
      <c r="O1" t="s">
        <v>56</v>
      </c>
      <c r="Q1" t="s">
        <v>11</v>
      </c>
      <c r="R1" t="s">
        <v>11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22</v>
      </c>
      <c r="L2">
        <v>40</v>
      </c>
      <c r="M2">
        <f>G16</f>
        <v>0</v>
      </c>
      <c r="S2" s="4"/>
      <c r="T2" s="4"/>
      <c r="U2" s="4"/>
      <c r="V2" s="4"/>
      <c r="W2" s="4"/>
      <c r="X2" s="4"/>
      <c r="Y2" s="4"/>
    </row>
    <row r="3" spans="3:25" ht="12.75">
      <c r="C3">
        <v>119.80258620689655</v>
      </c>
      <c r="E3">
        <v>-15.543586206896553</v>
      </c>
      <c r="H3">
        <v>1.005568</v>
      </c>
      <c r="L3">
        <v>60</v>
      </c>
      <c r="M3">
        <f>G24</f>
        <v>0.15532344232698095</v>
      </c>
      <c r="S3" s="5"/>
      <c r="T3" s="5"/>
      <c r="U3" s="5"/>
      <c r="V3" s="4"/>
      <c r="W3" s="5"/>
      <c r="X3" s="5"/>
      <c r="Y3" s="6"/>
    </row>
    <row r="4" spans="12:25" ht="12.75">
      <c r="L4">
        <v>80</v>
      </c>
      <c r="M4">
        <f>G31</f>
        <v>0.28603525899280574</v>
      </c>
      <c r="S4" s="5"/>
      <c r="T4" s="5"/>
      <c r="U4" s="5"/>
      <c r="V4" s="4"/>
      <c r="W4" s="5"/>
      <c r="X4" s="5"/>
      <c r="Y4" s="5"/>
    </row>
    <row r="5" spans="12:25" ht="12.75">
      <c r="L5">
        <v>100</v>
      </c>
      <c r="M5">
        <f>G40</f>
        <v>0.4447022798353909</v>
      </c>
      <c r="N5">
        <f>N40</f>
        <v>0.95</v>
      </c>
      <c r="S5" s="5"/>
      <c r="T5" s="5"/>
      <c r="U5" s="5"/>
      <c r="V5" s="4"/>
      <c r="W5" s="5"/>
      <c r="X5" s="5"/>
      <c r="Y5" s="5"/>
    </row>
    <row r="6" spans="12:25" ht="12.75">
      <c r="L6">
        <v>130</v>
      </c>
      <c r="M6">
        <f>G50</f>
        <v>0.6752403732470335</v>
      </c>
      <c r="N6">
        <f>N51</f>
        <v>1.13</v>
      </c>
      <c r="S6" s="5"/>
      <c r="T6" s="5"/>
      <c r="U6" s="5"/>
      <c r="V6" s="4"/>
      <c r="W6" s="5"/>
      <c r="X6" s="5"/>
      <c r="Y6" s="5"/>
    </row>
    <row r="7" spans="12:25" ht="12.75">
      <c r="L7">
        <v>160</v>
      </c>
      <c r="M7">
        <f>G62</f>
        <v>0.7950102078189301</v>
      </c>
      <c r="N7" s="4">
        <f>N62</f>
        <v>1.3</v>
      </c>
      <c r="S7" s="5"/>
      <c r="T7" s="5"/>
      <c r="U7" s="5"/>
      <c r="V7" s="4"/>
      <c r="W7" s="5"/>
      <c r="X7" s="5"/>
      <c r="Y7" s="5"/>
    </row>
    <row r="8" spans="12:25" ht="12.75">
      <c r="L8">
        <v>200</v>
      </c>
      <c r="M8">
        <f>G77</f>
        <v>0.8426188144989338</v>
      </c>
      <c r="N8">
        <f>N78</f>
        <v>1.52</v>
      </c>
      <c r="S8" s="5"/>
      <c r="T8" s="8"/>
      <c r="U8" s="5"/>
      <c r="V8" s="4"/>
      <c r="W8" s="5"/>
      <c r="X8" s="5"/>
      <c r="Y8" s="5"/>
    </row>
    <row r="9" spans="12:25" ht="12.75">
      <c r="L9">
        <v>250</v>
      </c>
      <c r="M9">
        <f>G92</f>
        <v>0.919089152</v>
      </c>
      <c r="N9">
        <f>N93</f>
        <v>1.85</v>
      </c>
      <c r="O9" s="4"/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300</v>
      </c>
      <c r="M10">
        <f>G107</f>
        <v>0.9145205955734406</v>
      </c>
      <c r="N10" s="4">
        <f>N107</f>
        <v>2.04</v>
      </c>
      <c r="O10" s="12"/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350</v>
      </c>
      <c r="M11">
        <f>G121</f>
        <v>0.9281371991786448</v>
      </c>
      <c r="N11" s="4">
        <f>N120</f>
        <v>2.25</v>
      </c>
      <c r="O11" s="12"/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400</v>
      </c>
      <c r="M12">
        <f>G133</f>
        <v>0.9415954831013916</v>
      </c>
      <c r="N12" s="4">
        <f>N133</f>
        <v>2.44</v>
      </c>
      <c r="O12" s="12"/>
      <c r="P12" s="4"/>
      <c r="Q12" s="4"/>
      <c r="S12" s="4"/>
      <c r="T12" s="4"/>
      <c r="U12" s="4"/>
      <c r="V12" s="4"/>
      <c r="W12" s="4"/>
      <c r="X12" s="4"/>
      <c r="Y12" s="4"/>
    </row>
    <row r="13" spans="1:25" ht="12.75">
      <c r="A13" t="s">
        <v>7</v>
      </c>
      <c r="L13">
        <v>450</v>
      </c>
      <c r="M13">
        <f>G145</f>
        <v>0.9837064298597193</v>
      </c>
      <c r="N13" s="4">
        <f>N146</f>
        <v>2.77</v>
      </c>
      <c r="O13" s="12"/>
      <c r="P13" s="4"/>
      <c r="Q13" s="4"/>
      <c r="S13" s="4"/>
      <c r="T13" s="4"/>
      <c r="U13" s="4"/>
      <c r="V13" s="4"/>
      <c r="W13" s="4"/>
      <c r="X13" s="4"/>
      <c r="Y13" s="4"/>
    </row>
    <row r="14" spans="12:17" ht="12.75">
      <c r="L14">
        <v>500</v>
      </c>
      <c r="M14">
        <f>G156</f>
        <v>0.9888412102335927</v>
      </c>
      <c r="N14" s="4">
        <f>N157</f>
        <v>2.97</v>
      </c>
      <c r="O14" s="4"/>
      <c r="P14" s="4"/>
      <c r="Q14" s="4"/>
    </row>
    <row r="15" spans="1:17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L15">
        <v>550</v>
      </c>
      <c r="M15">
        <f>G168</f>
        <v>0.9867140642398287</v>
      </c>
      <c r="N15" s="4">
        <f>N168</f>
        <v>3.15</v>
      </c>
      <c r="O15" s="4"/>
      <c r="P15" s="4"/>
      <c r="Q15" s="4"/>
    </row>
    <row r="16" spans="1:17" ht="12.75">
      <c r="A16">
        <v>105</v>
      </c>
      <c r="B16">
        <f>(A16-offset1)/gain1</f>
        <v>1.0061851753243483</v>
      </c>
      <c r="G16">
        <f>corr*(E16+F16)/(D16-14)</f>
        <v>0</v>
      </c>
      <c r="L16">
        <v>600</v>
      </c>
      <c r="M16">
        <f>G178</f>
        <v>0.9802490384615383</v>
      </c>
      <c r="N16" s="4">
        <f>N177</f>
        <v>3.26</v>
      </c>
      <c r="O16" s="7"/>
      <c r="P16" s="5"/>
      <c r="Q16" s="4"/>
    </row>
    <row r="17" spans="12:17" ht="12.75">
      <c r="L17">
        <v>650</v>
      </c>
      <c r="M17">
        <f>G187</f>
        <v>1.0010806299045598</v>
      </c>
      <c r="N17" s="5">
        <f>N187</f>
        <v>3.32</v>
      </c>
      <c r="O17" s="7"/>
      <c r="P17" s="4"/>
      <c r="Q17" s="4"/>
    </row>
    <row r="18" spans="12:17" ht="12.75">
      <c r="L18">
        <v>700</v>
      </c>
      <c r="N18" s="4">
        <f>N200</f>
        <v>3.44</v>
      </c>
      <c r="O18" s="4"/>
      <c r="P18" s="4"/>
      <c r="Q18" s="4"/>
    </row>
    <row r="19" spans="14:17" ht="12.75"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8</v>
      </c>
      <c r="N21" s="4"/>
      <c r="O21" s="4"/>
      <c r="P21" s="4"/>
      <c r="Q21" s="4"/>
    </row>
    <row r="22" spans="14:17" ht="12.75">
      <c r="N22" s="4"/>
      <c r="O22" s="4"/>
      <c r="P22" s="4"/>
      <c r="Q22" s="4"/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N23" s="4"/>
      <c r="O23" s="4"/>
      <c r="P23" s="4"/>
      <c r="Q23" s="4"/>
    </row>
    <row r="24" spans="1:17" ht="12.75">
      <c r="A24" s="1">
        <v>105</v>
      </c>
      <c r="B24">
        <f>(A24-offset1)/gain1</f>
        <v>1.0061851753243483</v>
      </c>
      <c r="D24">
        <v>1025</v>
      </c>
      <c r="E24">
        <v>20</v>
      </c>
      <c r="F24">
        <v>134</v>
      </c>
      <c r="G24">
        <f>corr*(E24+F24)/(D24-14*2)</f>
        <v>0.15532344232698095</v>
      </c>
      <c r="N24" s="4"/>
      <c r="O24" s="4"/>
      <c r="P24" s="4"/>
      <c r="Q24" s="4"/>
    </row>
    <row r="25" spans="14:17" ht="12.75">
      <c r="N25" s="4"/>
      <c r="O25" s="4"/>
      <c r="P25" s="4"/>
      <c r="Q25" s="4"/>
    </row>
    <row r="26" spans="14:17" ht="12.75">
      <c r="N26" s="4"/>
      <c r="O26" s="4"/>
      <c r="P26" s="4"/>
      <c r="Q26" s="4"/>
    </row>
    <row r="27" spans="14:17" ht="12.75">
      <c r="N27" s="4"/>
      <c r="O27" s="4"/>
      <c r="P27" s="4"/>
      <c r="Q27" s="4"/>
    </row>
    <row r="28" spans="1:17" ht="12.75">
      <c r="A28" t="s">
        <v>9</v>
      </c>
      <c r="B28" t="s">
        <v>47</v>
      </c>
      <c r="N28" s="4"/>
      <c r="O28" s="4"/>
      <c r="P28" s="4"/>
      <c r="Q28" s="4"/>
    </row>
    <row r="29" spans="14:17" ht="12.75">
      <c r="N29" s="4"/>
      <c r="O29" s="4"/>
      <c r="P29" s="4"/>
      <c r="Q29" s="4"/>
    </row>
    <row r="30" spans="1:1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N30" s="4">
        <v>0.85</v>
      </c>
      <c r="O30" s="4">
        <f>2.7879*N30^2-6.5827*N30+4.108</f>
        <v>0.5269627499999991</v>
      </c>
      <c r="P30" s="4"/>
      <c r="Q30" s="4"/>
    </row>
    <row r="31" spans="1:17" ht="12.75">
      <c r="A31">
        <v>105</v>
      </c>
      <c r="B31">
        <f>(A31-offset1)/gain1</f>
        <v>1.0061851753243483</v>
      </c>
      <c r="D31">
        <v>1001</v>
      </c>
      <c r="E31">
        <v>36</v>
      </c>
      <c r="F31">
        <v>237</v>
      </c>
      <c r="G31">
        <f>1.019459*(E31+F31)/(D31-14*2)</f>
        <v>0.28603525899280574</v>
      </c>
      <c r="N31" s="4" t="e">
        <f>#REF!+0.01</f>
        <v>#REF!</v>
      </c>
      <c r="O31" s="4" t="e">
        <f>2.7879*N31^2-6.5827*N31+4.108</f>
        <v>#REF!</v>
      </c>
      <c r="P31" s="4"/>
      <c r="Q31" s="4"/>
    </row>
    <row r="32" spans="16:17" ht="12.75">
      <c r="P32" s="4"/>
      <c r="Q32" s="4"/>
    </row>
    <row r="33" spans="16:17" ht="12.75">
      <c r="P33" s="4"/>
      <c r="Q33" s="4"/>
    </row>
    <row r="36" spans="1:4" ht="12.75">
      <c r="A36" t="s">
        <v>10</v>
      </c>
      <c r="B36" t="s">
        <v>47</v>
      </c>
      <c r="C36" s="3"/>
      <c r="D36" s="3"/>
    </row>
    <row r="38" spans="1:7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</row>
    <row r="39" spans="1:7" ht="12.75">
      <c r="A39">
        <v>85</v>
      </c>
      <c r="B39">
        <f>(A39-offset1)/gain1</f>
        <v>0.8392438710234509</v>
      </c>
      <c r="G39">
        <f>1.019459*(E39+F39)/(D39-14*2)</f>
        <v>0</v>
      </c>
    </row>
    <row r="40" spans="1:15" ht="12.75">
      <c r="A40" s="1">
        <v>105</v>
      </c>
      <c r="B40">
        <f>(A40-offset1)/gain1</f>
        <v>1.0061851753243483</v>
      </c>
      <c r="D40">
        <v>1000</v>
      </c>
      <c r="E40">
        <v>46</v>
      </c>
      <c r="F40">
        <v>378</v>
      </c>
      <c r="G40">
        <f>1.019459*(E40+F40)/(D40-14*2)</f>
        <v>0.4447022798353909</v>
      </c>
      <c r="N40" s="4">
        <v>0.95</v>
      </c>
      <c r="O40">
        <f aca="true" t="shared" si="0" ref="O40:O45">-0.9089*N40+1.3592</f>
        <v>0.495745</v>
      </c>
    </row>
    <row r="41" spans="1:15" ht="12.75">
      <c r="A41">
        <v>120</v>
      </c>
      <c r="B41">
        <f>(A41-offset1)/gain1</f>
        <v>1.1313911535500212</v>
      </c>
      <c r="D41">
        <v>943</v>
      </c>
      <c r="E41">
        <v>40</v>
      </c>
      <c r="F41">
        <v>257</v>
      </c>
      <c r="G41">
        <f>1.019459*(E41+F41)/(D41-14*2)</f>
        <v>0.3309063639344262</v>
      </c>
      <c r="N41" s="4">
        <f>N40+0.01</f>
        <v>0.96</v>
      </c>
      <c r="O41">
        <f t="shared" si="0"/>
        <v>0.486656</v>
      </c>
    </row>
    <row r="42" spans="1:15" ht="12.75">
      <c r="A42">
        <v>150</v>
      </c>
      <c r="B42">
        <f>(A42-offset1)/gain1</f>
        <v>1.3818031100013672</v>
      </c>
      <c r="G42">
        <f>1.019459*(E42+F42)/(D42-14*2)</f>
        <v>0</v>
      </c>
      <c r="N42" s="4">
        <f>N41+0.01</f>
        <v>0.97</v>
      </c>
      <c r="O42">
        <f t="shared" si="0"/>
        <v>0.47756699999999996</v>
      </c>
    </row>
    <row r="43" spans="14:16" ht="12.75">
      <c r="N43" s="4">
        <f>N42+0.01</f>
        <v>0.98</v>
      </c>
      <c r="O43">
        <f t="shared" si="0"/>
        <v>0.46847799999999995</v>
      </c>
      <c r="P43" s="2"/>
    </row>
    <row r="44" spans="14:15" ht="12.75">
      <c r="N44" s="4">
        <f>N43+0.01</f>
        <v>0.99</v>
      </c>
      <c r="O44">
        <f t="shared" si="0"/>
        <v>0.45938899999999994</v>
      </c>
    </row>
    <row r="45" spans="14:15" ht="12.75">
      <c r="N45" s="4">
        <f>N44+0.01</f>
        <v>1</v>
      </c>
      <c r="O45">
        <f t="shared" si="0"/>
        <v>0.4502999999999999</v>
      </c>
    </row>
    <row r="47" spans="1:4" ht="12.75">
      <c r="A47" t="s">
        <v>45</v>
      </c>
      <c r="C47" s="3"/>
      <c r="D47" s="3"/>
    </row>
    <row r="49" spans="1:7" ht="12.7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</row>
    <row r="50" spans="1:7" ht="12.75">
      <c r="A50">
        <v>105</v>
      </c>
      <c r="B50">
        <f>(A50-offset1)/gain1</f>
        <v>1.0061851753243483</v>
      </c>
      <c r="C50">
        <v>112103</v>
      </c>
      <c r="D50">
        <v>955</v>
      </c>
      <c r="E50">
        <v>81</v>
      </c>
      <c r="F50">
        <v>533</v>
      </c>
      <c r="G50">
        <f>1.019459*(E50+F50)/(D50-14*2)</f>
        <v>0.6752403732470335</v>
      </c>
    </row>
    <row r="51" spans="1:15" ht="12.75">
      <c r="A51">
        <v>120</v>
      </c>
      <c r="B51">
        <f>(A51-offset1)/gain1</f>
        <v>1.1313911535500212</v>
      </c>
      <c r="C51">
        <v>82330</v>
      </c>
      <c r="D51">
        <v>1993</v>
      </c>
      <c r="E51">
        <v>126</v>
      </c>
      <c r="F51">
        <v>839</v>
      </c>
      <c r="G51">
        <f>1.019459*(E51+F51)/(D51-14*2)</f>
        <v>0.5006503486005088</v>
      </c>
      <c r="N51">
        <v>1.13</v>
      </c>
      <c r="O51">
        <f aca="true" t="shared" si="1" ref="O51:O56">-3.0907*N51^3+12.282*N51^2-17.044*N51+8.5389</f>
        <v>0.5025040420999982</v>
      </c>
    </row>
    <row r="52" spans="1:15" ht="12.75">
      <c r="A52">
        <v>150</v>
      </c>
      <c r="B52">
        <f>(A52-offset1)/gain1</f>
        <v>1.3818031100013672</v>
      </c>
      <c r="C52">
        <v>32055</v>
      </c>
      <c r="D52">
        <v>1883</v>
      </c>
      <c r="E52">
        <v>71</v>
      </c>
      <c r="F52">
        <v>445</v>
      </c>
      <c r="G52">
        <f>1.019459*(E52+F52)/(D52-14*2)</f>
        <v>0.2835799698113208</v>
      </c>
      <c r="N52" s="4">
        <f>N51+0.01</f>
        <v>1.14</v>
      </c>
      <c r="O52">
        <f t="shared" si="1"/>
        <v>0.49141915920000123</v>
      </c>
    </row>
    <row r="53" spans="1:15" ht="12.75">
      <c r="A53">
        <v>180</v>
      </c>
      <c r="B53">
        <f>(A53-offset1)/gain1</f>
        <v>1.632215066452713</v>
      </c>
      <c r="C53">
        <v>15708</v>
      </c>
      <c r="D53">
        <v>1901</v>
      </c>
      <c r="E53">
        <v>41</v>
      </c>
      <c r="F53">
        <v>261</v>
      </c>
      <c r="G53">
        <f>1.019459*(E53+F53)/(D53-14*2)</f>
        <v>0.16437619754404695</v>
      </c>
      <c r="N53" s="4">
        <f>N52+0.01</f>
        <v>1.15</v>
      </c>
      <c r="O53">
        <f t="shared" si="1"/>
        <v>0.4806766375000002</v>
      </c>
    </row>
    <row r="54" spans="14:15" ht="12.75">
      <c r="N54" s="4">
        <f>N53+0.01</f>
        <v>1.16</v>
      </c>
      <c r="O54">
        <f t="shared" si="1"/>
        <v>0.4702579327999974</v>
      </c>
    </row>
    <row r="55" spans="14:15" ht="12.75">
      <c r="N55" s="4">
        <f>N54+0.01</f>
        <v>1.17</v>
      </c>
      <c r="O55">
        <f t="shared" si="1"/>
        <v>0.4601445008999985</v>
      </c>
    </row>
    <row r="56" spans="14:15" ht="12.75">
      <c r="N56" s="4">
        <f>N55+0.01</f>
        <v>1.18</v>
      </c>
      <c r="O56">
        <f t="shared" si="1"/>
        <v>0.45031779760000035</v>
      </c>
    </row>
    <row r="59" spans="1:4" ht="12.75">
      <c r="A59" t="s">
        <v>46</v>
      </c>
      <c r="C59" s="3"/>
      <c r="D59" s="3"/>
    </row>
    <row r="61" spans="1:7" ht="12.7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</row>
    <row r="62" spans="1:15" ht="12.75">
      <c r="A62" s="11">
        <v>105</v>
      </c>
      <c r="B62">
        <f>(A62-offset1)/gain1</f>
        <v>1.0061851753243483</v>
      </c>
      <c r="C62">
        <v>140709</v>
      </c>
      <c r="D62">
        <v>986</v>
      </c>
      <c r="E62">
        <v>98</v>
      </c>
      <c r="F62">
        <v>660</v>
      </c>
      <c r="G62">
        <f>1.019459*(E62+F62)/(D62-14)</f>
        <v>0.7950102078189301</v>
      </c>
      <c r="N62">
        <v>1.3</v>
      </c>
      <c r="O62">
        <f>0.5934*N62^3-2.0211*N62^2+1.2686*N62+0.9657</f>
        <v>0.5029207999999998</v>
      </c>
    </row>
    <row r="63" spans="1:15" ht="12.75">
      <c r="A63">
        <v>120</v>
      </c>
      <c r="B63">
        <f>(A63-offset1)/gain1</f>
        <v>1.1313911535500212</v>
      </c>
      <c r="C63">
        <v>66060</v>
      </c>
      <c r="D63">
        <v>1920</v>
      </c>
      <c r="E63">
        <v>164</v>
      </c>
      <c r="F63">
        <v>1108</v>
      </c>
      <c r="G63">
        <f>1.019459*(E63+F63)/(D63-14*2)</f>
        <v>0.6853868118393234</v>
      </c>
      <c r="N63" s="4">
        <f aca="true" t="shared" si="2" ref="N63:N69">N62+0.01</f>
        <v>1.31</v>
      </c>
      <c r="O63">
        <f aca="true" t="shared" si="3" ref="O63:O69">0.5934*N63^3-2.0211*N63^2+1.2686*N63+0.9657</f>
        <v>0.49317348939999994</v>
      </c>
    </row>
    <row r="64" spans="1:15" ht="12.75">
      <c r="A64">
        <v>150</v>
      </c>
      <c r="B64">
        <f>(A64-offset1)/gain1</f>
        <v>1.3818031100013672</v>
      </c>
      <c r="C64">
        <v>31299</v>
      </c>
      <c r="D64">
        <v>1851</v>
      </c>
      <c r="E64">
        <v>88</v>
      </c>
      <c r="F64">
        <v>651</v>
      </c>
      <c r="G64">
        <f>1.019459*(E64+F64)/(D64-14*2)</f>
        <v>0.41326396105320895</v>
      </c>
      <c r="N64" s="4">
        <f t="shared" si="2"/>
        <v>1.32</v>
      </c>
      <c r="O64">
        <f t="shared" si="3"/>
        <v>0.48348837119999977</v>
      </c>
    </row>
    <row r="65" spans="1:15" ht="12.75">
      <c r="A65">
        <v>180</v>
      </c>
      <c r="B65">
        <f>(A65-offset1)/gain1</f>
        <v>1.632215066452713</v>
      </c>
      <c r="C65">
        <v>18910</v>
      </c>
      <c r="D65">
        <v>1973</v>
      </c>
      <c r="E65">
        <v>47</v>
      </c>
      <c r="F65">
        <v>410</v>
      </c>
      <c r="G65">
        <f>1.019459*(E65+F65)/(D65-14*2)</f>
        <v>0.2395335542416452</v>
      </c>
      <c r="N65" s="4">
        <f t="shared" si="2"/>
        <v>1.33</v>
      </c>
      <c r="O65">
        <f t="shared" si="3"/>
        <v>0.47386900579999947</v>
      </c>
    </row>
    <row r="66" spans="1:15" ht="12.75">
      <c r="A66">
        <v>210</v>
      </c>
      <c r="B66">
        <f>(A66-offset1)/gain1</f>
        <v>1.8826270229040591</v>
      </c>
      <c r="C66">
        <v>10978</v>
      </c>
      <c r="D66">
        <v>1957</v>
      </c>
      <c r="E66">
        <v>35</v>
      </c>
      <c r="F66">
        <v>246</v>
      </c>
      <c r="G66">
        <f>1.019459*(E66+F66)/(D66-14*2)</f>
        <v>0.1485059507516848</v>
      </c>
      <c r="N66" s="4">
        <f t="shared" si="2"/>
        <v>1.34</v>
      </c>
      <c r="O66">
        <f t="shared" si="3"/>
        <v>0.4643189535999992</v>
      </c>
    </row>
    <row r="67" spans="14:15" ht="12.75">
      <c r="N67" s="4">
        <f t="shared" si="2"/>
        <v>1.35</v>
      </c>
      <c r="O67">
        <f t="shared" si="3"/>
        <v>0.45484177499999956</v>
      </c>
    </row>
    <row r="68" spans="14:15" ht="12.75">
      <c r="N68" s="4">
        <f t="shared" si="2"/>
        <v>1.36</v>
      </c>
      <c r="O68">
        <f t="shared" si="3"/>
        <v>0.4454410303999996</v>
      </c>
    </row>
    <row r="69" spans="14:15" ht="12.75">
      <c r="N69" s="4">
        <f t="shared" si="2"/>
        <v>1.37</v>
      </c>
      <c r="O69">
        <f t="shared" si="3"/>
        <v>0.43612028019999993</v>
      </c>
    </row>
    <row r="70" ht="12.75">
      <c r="N70" s="4"/>
    </row>
    <row r="71" ht="12.75">
      <c r="N71" s="4"/>
    </row>
    <row r="74" spans="1:4" ht="12.75">
      <c r="A74" t="s">
        <v>18</v>
      </c>
      <c r="C74" s="3"/>
      <c r="D74" s="3"/>
    </row>
    <row r="76" spans="1: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</row>
    <row r="77" spans="1:7" ht="12.75">
      <c r="A77">
        <v>105</v>
      </c>
      <c r="B77">
        <f aca="true" t="shared" si="4" ref="B77:B82">(A77-offset1)/gain1</f>
        <v>1.0061851753243483</v>
      </c>
      <c r="C77">
        <v>67423</v>
      </c>
      <c r="D77">
        <v>1890</v>
      </c>
      <c r="E77">
        <v>206</v>
      </c>
      <c r="F77">
        <v>1366</v>
      </c>
      <c r="G77">
        <f aca="true" t="shared" si="5" ref="G77:G82">corr*(E77+F77)/(D77-14)</f>
        <v>0.8426188144989338</v>
      </c>
    </row>
    <row r="78" spans="1:15" ht="12.75">
      <c r="A78">
        <v>120</v>
      </c>
      <c r="B78">
        <f t="shared" si="4"/>
        <v>1.1313911535500212</v>
      </c>
      <c r="C78">
        <v>52619</v>
      </c>
      <c r="D78">
        <v>1987</v>
      </c>
      <c r="E78">
        <v>218</v>
      </c>
      <c r="F78">
        <v>1382</v>
      </c>
      <c r="G78">
        <f t="shared" si="5"/>
        <v>0.8154631525595539</v>
      </c>
      <c r="N78">
        <v>1.52</v>
      </c>
      <c r="O78">
        <f>0.6335*N78^3-2.8594*N78^2+3.4652*N78-0.3835</f>
        <v>0.5019766079999994</v>
      </c>
    </row>
    <row r="79" spans="1:15" ht="12.75">
      <c r="A79">
        <v>150</v>
      </c>
      <c r="B79">
        <f t="shared" si="4"/>
        <v>1.3818031100013672</v>
      </c>
      <c r="C79">
        <v>29722</v>
      </c>
      <c r="D79">
        <v>2012</v>
      </c>
      <c r="E79">
        <v>145</v>
      </c>
      <c r="F79">
        <v>1053</v>
      </c>
      <c r="G79">
        <f t="shared" si="5"/>
        <v>0.6029381701701702</v>
      </c>
      <c r="N79" s="4">
        <f aca="true" t="shared" si="6" ref="N79:N84">N78+0.01</f>
        <v>1.53</v>
      </c>
      <c r="O79">
        <f aca="true" t="shared" si="7" ref="O79:O84">0.6335*N79^3-2.8594*N79^2+3.4652*N79-0.3835</f>
        <v>0.4936155694999999</v>
      </c>
    </row>
    <row r="80" spans="1:15" ht="12.75">
      <c r="A80">
        <v>180</v>
      </c>
      <c r="B80">
        <f t="shared" si="4"/>
        <v>1.632215066452713</v>
      </c>
      <c r="C80">
        <v>20762</v>
      </c>
      <c r="D80">
        <v>1924</v>
      </c>
      <c r="E80">
        <v>90</v>
      </c>
      <c r="F80">
        <v>685</v>
      </c>
      <c r="G80">
        <f t="shared" si="5"/>
        <v>0.4080184293193717</v>
      </c>
      <c r="N80" s="4">
        <f t="shared" si="6"/>
        <v>1.54</v>
      </c>
      <c r="O80">
        <f t="shared" si="7"/>
        <v>0.48526420399999964</v>
      </c>
    </row>
    <row r="81" spans="1:15" ht="12.75">
      <c r="A81">
        <v>210</v>
      </c>
      <c r="B81">
        <f t="shared" si="4"/>
        <v>1.8826270229040591</v>
      </c>
      <c r="C81">
        <v>17908</v>
      </c>
      <c r="D81">
        <v>1915</v>
      </c>
      <c r="E81">
        <v>46</v>
      </c>
      <c r="F81">
        <v>407</v>
      </c>
      <c r="G81">
        <f t="shared" si="5"/>
        <v>0.23962246396633352</v>
      </c>
      <c r="N81" s="4">
        <f t="shared" si="6"/>
        <v>1.55</v>
      </c>
      <c r="O81">
        <f t="shared" si="7"/>
        <v>0.47692631249999956</v>
      </c>
    </row>
    <row r="82" spans="1:15" ht="12.75">
      <c r="A82">
        <v>240</v>
      </c>
      <c r="B82">
        <f t="shared" si="4"/>
        <v>2.133038979355405</v>
      </c>
      <c r="C82">
        <v>16145</v>
      </c>
      <c r="D82">
        <v>1871</v>
      </c>
      <c r="E82">
        <v>30</v>
      </c>
      <c r="F82">
        <v>235</v>
      </c>
      <c r="G82">
        <f t="shared" si="5"/>
        <v>0.14349785675821217</v>
      </c>
      <c r="N82" s="4">
        <f t="shared" si="6"/>
        <v>1.56</v>
      </c>
      <c r="O82">
        <f t="shared" si="7"/>
        <v>0.46860569599999974</v>
      </c>
    </row>
    <row r="83" spans="14:15" ht="12.75">
      <c r="N83" s="4">
        <f t="shared" si="6"/>
        <v>1.57</v>
      </c>
      <c r="O83">
        <f t="shared" si="7"/>
        <v>0.46030615550000026</v>
      </c>
    </row>
    <row r="84" spans="14:15" ht="12.75">
      <c r="N84" s="4">
        <f t="shared" si="6"/>
        <v>1.58</v>
      </c>
      <c r="O84">
        <f t="shared" si="7"/>
        <v>0.4520314919999994</v>
      </c>
    </row>
    <row r="89" spans="1:4" ht="12.75">
      <c r="A89" t="s">
        <v>12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 s="11">
        <v>105</v>
      </c>
      <c r="B92">
        <f aca="true" t="shared" si="8" ref="B92:B98">(A92-offset1)/gain1</f>
        <v>1.0061851753243483</v>
      </c>
      <c r="C92">
        <v>19122</v>
      </c>
      <c r="D92">
        <v>1014</v>
      </c>
      <c r="E92">
        <v>109</v>
      </c>
      <c r="F92">
        <v>805</v>
      </c>
      <c r="G92">
        <f>corr*(E92+F92)/(D92-14)</f>
        <v>0.919089152</v>
      </c>
    </row>
    <row r="93" spans="1:15" ht="12.75">
      <c r="A93" s="11">
        <v>120</v>
      </c>
      <c r="B93" s="11">
        <f t="shared" si="8"/>
        <v>1.1313911535500212</v>
      </c>
      <c r="C93" s="11">
        <v>61959</v>
      </c>
      <c r="D93" s="11">
        <v>1965</v>
      </c>
      <c r="E93" s="11">
        <v>204</v>
      </c>
      <c r="F93" s="11">
        <v>1478</v>
      </c>
      <c r="G93">
        <f>corr*(E93+F93)/(D93-14*2)</f>
        <v>0.8731881135776974</v>
      </c>
      <c r="N93">
        <v>1.85</v>
      </c>
      <c r="O93">
        <f>0.3204*N93^3-1.7508*N93^2+2.4972*N93-0.1584</f>
        <v>0.4979596499999993</v>
      </c>
    </row>
    <row r="94" spans="1:15" ht="12.75">
      <c r="A94" s="11">
        <v>150</v>
      </c>
      <c r="B94" s="11">
        <f t="shared" si="8"/>
        <v>1.3818031100013672</v>
      </c>
      <c r="C94" s="11">
        <v>28616</v>
      </c>
      <c r="D94" s="11">
        <v>1950</v>
      </c>
      <c r="E94" s="11">
        <v>182</v>
      </c>
      <c r="F94" s="11">
        <v>1342</v>
      </c>
      <c r="G94">
        <f>corr*(E94+F94)/(D94-14*2)</f>
        <v>0.797339038501561</v>
      </c>
      <c r="N94" s="4">
        <f aca="true" t="shared" si="9" ref="N94:N99">N93+0.01</f>
        <v>1.86</v>
      </c>
      <c r="O94">
        <f aca="true" t="shared" si="10" ref="O94:O99">0.3204*N94^3-1.7508*N94^2+2.4972*N94-0.1584</f>
        <v>0.4910521823999997</v>
      </c>
    </row>
    <row r="95" spans="1:15" ht="12.75">
      <c r="A95" s="11">
        <v>180</v>
      </c>
      <c r="B95">
        <f t="shared" si="8"/>
        <v>1.632215066452713</v>
      </c>
      <c r="D95" s="11">
        <v>1913</v>
      </c>
      <c r="E95" s="11">
        <v>140</v>
      </c>
      <c r="F95" s="11">
        <v>1074</v>
      </c>
      <c r="G95">
        <f>corr*(E95+F95)/(D95-14*2)</f>
        <v>0.647617799469496</v>
      </c>
      <c r="N95" s="4">
        <f t="shared" si="9"/>
        <v>1.87</v>
      </c>
      <c r="O95">
        <f t="shared" si="10"/>
        <v>0.4841521211999996</v>
      </c>
    </row>
    <row r="96" spans="1:15" ht="12.75">
      <c r="A96">
        <v>210</v>
      </c>
      <c r="B96">
        <f t="shared" si="8"/>
        <v>1.8826270229040591</v>
      </c>
      <c r="C96">
        <v>19089</v>
      </c>
      <c r="D96" s="11">
        <v>1927</v>
      </c>
      <c r="E96" s="11">
        <v>145</v>
      </c>
      <c r="F96" s="11">
        <v>790</v>
      </c>
      <c r="G96">
        <f>corr*(E96+F96)/(D96-14)</f>
        <v>0.4914825300575013</v>
      </c>
      <c r="N96" s="4">
        <f t="shared" si="9"/>
        <v>1.8800000000000001</v>
      </c>
      <c r="O96">
        <f t="shared" si="10"/>
        <v>0.47726138879999913</v>
      </c>
    </row>
    <row r="97" spans="1:15" ht="12.75">
      <c r="A97">
        <v>240</v>
      </c>
      <c r="B97">
        <f t="shared" si="8"/>
        <v>2.133038979355405</v>
      </c>
      <c r="C97">
        <v>14649</v>
      </c>
      <c r="D97" s="11">
        <v>1915</v>
      </c>
      <c r="E97" s="11">
        <v>63</v>
      </c>
      <c r="F97" s="11">
        <v>490</v>
      </c>
      <c r="G97">
        <f>corr*(E97+F97)/(D97-14)</f>
        <v>0.29251925512887955</v>
      </c>
      <c r="N97" s="4">
        <f t="shared" si="9"/>
        <v>1.8900000000000001</v>
      </c>
      <c r="O97">
        <f t="shared" si="10"/>
        <v>0.47038190759999965</v>
      </c>
    </row>
    <row r="98" spans="1:15" ht="12.75">
      <c r="A98">
        <v>270</v>
      </c>
      <c r="B98">
        <f t="shared" si="8"/>
        <v>2.3834509358067515</v>
      </c>
      <c r="C98">
        <v>11680</v>
      </c>
      <c r="D98" s="11">
        <v>2018</v>
      </c>
      <c r="E98" s="11">
        <v>45</v>
      </c>
      <c r="F98" s="11">
        <v>332</v>
      </c>
      <c r="G98">
        <f>1.019459*(E98+F98)/(D98-14*2)</f>
        <v>0.19313368994974872</v>
      </c>
      <c r="N98" s="4">
        <f t="shared" si="9"/>
        <v>1.9000000000000001</v>
      </c>
      <c r="O98">
        <f t="shared" si="10"/>
        <v>0.46351560000000036</v>
      </c>
    </row>
    <row r="99" spans="14:15" ht="12.75">
      <c r="N99" s="4">
        <f t="shared" si="9"/>
        <v>1.9100000000000001</v>
      </c>
      <c r="O99">
        <f t="shared" si="10"/>
        <v>0.45666438840000045</v>
      </c>
    </row>
    <row r="104" spans="1:4" ht="12.75">
      <c r="A104" t="s">
        <v>48</v>
      </c>
      <c r="C104" s="3"/>
      <c r="D104" s="3"/>
    </row>
    <row r="106" spans="1:7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</row>
    <row r="107" spans="1:15" ht="12.75">
      <c r="A107">
        <v>105</v>
      </c>
      <c r="B107">
        <f aca="true" t="shared" si="11" ref="B107:B114">(A107-offset1)/gain1</f>
        <v>1.0061851753243483</v>
      </c>
      <c r="C107">
        <v>27997</v>
      </c>
      <c r="D107">
        <v>1008</v>
      </c>
      <c r="E107">
        <v>110</v>
      </c>
      <c r="F107">
        <v>794</v>
      </c>
      <c r="G107">
        <f>corr*(E107+F107)/(D107-14)</f>
        <v>0.9145205955734406</v>
      </c>
      <c r="N107">
        <v>2.04</v>
      </c>
      <c r="O107">
        <f>0.7697*N107^3-4.8909*N107^2+9.6491*N107-5.3648</f>
        <v>0.4998889408000027</v>
      </c>
    </row>
    <row r="108" spans="1:15" ht="12.75">
      <c r="A108" s="11">
        <v>120</v>
      </c>
      <c r="B108">
        <f t="shared" si="11"/>
        <v>1.1313911535500212</v>
      </c>
      <c r="G108">
        <f>corr*(E108+F108)/(D108-14)</f>
        <v>0</v>
      </c>
      <c r="N108" s="4">
        <f>N107+0.01</f>
        <v>2.05</v>
      </c>
      <c r="O108">
        <f aca="true" t="shared" si="12" ref="O108:O114">0.7697*N108^3-4.8909*N108^2+9.6491*N108-5.3648</f>
        <v>0.492909462500001</v>
      </c>
    </row>
    <row r="109" spans="1:15" ht="12.75">
      <c r="A109" s="11">
        <v>150</v>
      </c>
      <c r="B109">
        <f t="shared" si="11"/>
        <v>1.3818031100013672</v>
      </c>
      <c r="C109">
        <v>37615</v>
      </c>
      <c r="D109">
        <v>1949</v>
      </c>
      <c r="E109">
        <v>221</v>
      </c>
      <c r="F109">
        <v>1430</v>
      </c>
      <c r="G109">
        <f>corr*(E109+F109)/(D109-14)</f>
        <v>0.8579807586563308</v>
      </c>
      <c r="N109" s="4">
        <f aca="true" t="shared" si="13" ref="N109:N114">N108+0.01</f>
        <v>2.0599999999999996</v>
      </c>
      <c r="O109">
        <f t="shared" si="12"/>
        <v>0.4858985351999996</v>
      </c>
    </row>
    <row r="110" spans="1:15" ht="12.75">
      <c r="A110">
        <v>180</v>
      </c>
      <c r="B110">
        <f t="shared" si="11"/>
        <v>1.632215066452713</v>
      </c>
      <c r="C110">
        <v>29958</v>
      </c>
      <c r="D110">
        <v>1881</v>
      </c>
      <c r="E110">
        <v>147</v>
      </c>
      <c r="F110">
        <v>1141</v>
      </c>
      <c r="G110">
        <f>corr*(E110+F110)/(D110-14*2)</f>
        <v>0.6989593005936319</v>
      </c>
      <c r="N110" s="4">
        <f t="shared" si="13"/>
        <v>2.0699999999999994</v>
      </c>
      <c r="O110">
        <f t="shared" si="12"/>
        <v>0.4788607771000022</v>
      </c>
    </row>
    <row r="111" spans="1:15" ht="12.75">
      <c r="A111" s="11">
        <v>210</v>
      </c>
      <c r="B111" s="11">
        <f t="shared" si="11"/>
        <v>1.8826270229040591</v>
      </c>
      <c r="C111" s="11">
        <v>25335</v>
      </c>
      <c r="D111" s="11">
        <v>1975</v>
      </c>
      <c r="E111" s="11">
        <v>160</v>
      </c>
      <c r="F111" s="11">
        <v>1027</v>
      </c>
      <c r="G111">
        <f>corr*(E111+F111)/(D111-14*2)</f>
        <v>0.6130504447868516</v>
      </c>
      <c r="N111" s="4">
        <f t="shared" si="13"/>
        <v>2.079999999999999</v>
      </c>
      <c r="O111">
        <f t="shared" si="12"/>
        <v>0.4718008064000019</v>
      </c>
    </row>
    <row r="112" spans="1:15" ht="12.75">
      <c r="A112">
        <v>240</v>
      </c>
      <c r="B112">
        <f t="shared" si="11"/>
        <v>2.133038979355405</v>
      </c>
      <c r="C112" s="11">
        <v>18293</v>
      </c>
      <c r="D112" s="11">
        <v>1922</v>
      </c>
      <c r="E112" s="11">
        <v>97</v>
      </c>
      <c r="F112" s="11">
        <v>690</v>
      </c>
      <c r="G112">
        <f>corr*(E112+F112)/(D112-14*2)</f>
        <v>0.4178363336853221</v>
      </c>
      <c r="N112" s="4">
        <f t="shared" si="13"/>
        <v>2.089999999999999</v>
      </c>
      <c r="O112">
        <f t="shared" si="12"/>
        <v>0.46472324129999887</v>
      </c>
    </row>
    <row r="113" spans="1:15" ht="12.75">
      <c r="A113">
        <v>270</v>
      </c>
      <c r="B113">
        <f t="shared" si="11"/>
        <v>2.3834509358067515</v>
      </c>
      <c r="C113" s="11">
        <v>14907</v>
      </c>
      <c r="D113" s="11">
        <v>1948</v>
      </c>
      <c r="E113" s="11">
        <v>78</v>
      </c>
      <c r="F113" s="11">
        <v>460</v>
      </c>
      <c r="G113">
        <f>corr*(E113+F113)/(D113-14*2)</f>
        <v>0.28176853333333335</v>
      </c>
      <c r="N113" s="4">
        <f t="shared" si="13"/>
        <v>2.0999999999999988</v>
      </c>
      <c r="O113">
        <f t="shared" si="12"/>
        <v>0.457632700000004</v>
      </c>
    </row>
    <row r="114" spans="1:15" ht="12.75">
      <c r="A114">
        <v>300</v>
      </c>
      <c r="B114">
        <f t="shared" si="11"/>
        <v>2.6338628922580973</v>
      </c>
      <c r="C114" s="11">
        <v>12847</v>
      </c>
      <c r="D114" s="11">
        <v>1918</v>
      </c>
      <c r="E114" s="11">
        <v>37</v>
      </c>
      <c r="F114" s="11">
        <v>304</v>
      </c>
      <c r="G114">
        <f>corr*(E114+F114)/(D114-14*2)</f>
        <v>0.18142787724867723</v>
      </c>
      <c r="N114" s="4">
        <f t="shared" si="13"/>
        <v>2.1099999999999985</v>
      </c>
      <c r="O114">
        <f t="shared" si="12"/>
        <v>0.45053380070000326</v>
      </c>
    </row>
    <row r="118" spans="1:4" ht="12.75">
      <c r="A118" t="s">
        <v>49</v>
      </c>
      <c r="C118" s="3"/>
      <c r="D118" s="3"/>
    </row>
    <row r="120" spans="1:15" ht="12.7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N120">
        <v>2.25</v>
      </c>
      <c r="O120">
        <f aca="true" t="shared" si="14" ref="O120:O125">-0.1248*N120^2-0.02*N120+1.1743</f>
        <v>0.49749999999999994</v>
      </c>
    </row>
    <row r="121" spans="1:15" ht="12.75">
      <c r="A121">
        <v>105</v>
      </c>
      <c r="B121">
        <f aca="true" t="shared" si="15" ref="B121:B126">(A121-offset1)/gain1</f>
        <v>1.0061851753243483</v>
      </c>
      <c r="C121">
        <v>28574</v>
      </c>
      <c r="D121">
        <v>988</v>
      </c>
      <c r="E121">
        <v>118</v>
      </c>
      <c r="F121">
        <v>781</v>
      </c>
      <c r="G121">
        <f>corr*(E121+F121)/(D121-14)</f>
        <v>0.9281371991786448</v>
      </c>
      <c r="N121" s="4">
        <f>N120+0.01</f>
        <v>2.26</v>
      </c>
      <c r="O121">
        <f t="shared" si="14"/>
        <v>0.49167152000000003</v>
      </c>
    </row>
    <row r="122" spans="1:15" ht="12.75">
      <c r="A122" s="11">
        <v>180</v>
      </c>
      <c r="B122">
        <f t="shared" si="15"/>
        <v>1.632215066452713</v>
      </c>
      <c r="C122">
        <v>3800</v>
      </c>
      <c r="D122">
        <v>1981</v>
      </c>
      <c r="E122">
        <v>185</v>
      </c>
      <c r="F122">
        <v>1385</v>
      </c>
      <c r="G122">
        <f>corr*(E122+F122)/(D122-14*2)</f>
        <v>0.8083675166410651</v>
      </c>
      <c r="N122" s="4">
        <f>N121+0.01</f>
        <v>2.2699999999999996</v>
      </c>
      <c r="O122">
        <f t="shared" si="14"/>
        <v>0.48581808000000015</v>
      </c>
    </row>
    <row r="123" spans="1:15" ht="12.75">
      <c r="A123" s="11">
        <v>210</v>
      </c>
      <c r="B123">
        <f t="shared" si="15"/>
        <v>1.8826270229040591</v>
      </c>
      <c r="C123">
        <v>36854</v>
      </c>
      <c r="D123">
        <v>1949</v>
      </c>
      <c r="E123">
        <v>185</v>
      </c>
      <c r="F123">
        <v>1135</v>
      </c>
      <c r="G123">
        <f>corr*(E123+F123)/(D123-14*2)</f>
        <v>0.6909681207704321</v>
      </c>
      <c r="N123" s="4">
        <f>N122+0.01</f>
        <v>2.2799999999999994</v>
      </c>
      <c r="O123">
        <f t="shared" si="14"/>
        <v>0.4799396800000003</v>
      </c>
    </row>
    <row r="124" spans="1:15" ht="12.75">
      <c r="A124" s="11">
        <v>240</v>
      </c>
      <c r="B124">
        <f t="shared" si="15"/>
        <v>2.133038979355405</v>
      </c>
      <c r="C124">
        <v>21975</v>
      </c>
      <c r="D124">
        <v>1956</v>
      </c>
      <c r="E124">
        <v>140</v>
      </c>
      <c r="F124">
        <v>970</v>
      </c>
      <c r="G124">
        <f>corr*(E124+F124)/(D124-14*2)</f>
        <v>0.5789317842323651</v>
      </c>
      <c r="N124" s="4">
        <f>N123+0.01</f>
        <v>2.289999999999999</v>
      </c>
      <c r="O124">
        <f t="shared" si="14"/>
        <v>0.4740363200000005</v>
      </c>
    </row>
    <row r="125" spans="1:15" ht="12.75">
      <c r="A125" s="11">
        <v>270</v>
      </c>
      <c r="B125">
        <f t="shared" si="15"/>
        <v>2.3834509358067515</v>
      </c>
      <c r="C125">
        <v>19568</v>
      </c>
      <c r="D125">
        <v>1989</v>
      </c>
      <c r="E125">
        <v>94</v>
      </c>
      <c r="F125">
        <v>688</v>
      </c>
      <c r="G125">
        <f>corr*(E125+F125)/(D125-14*2)</f>
        <v>0.4009965201427843</v>
      </c>
      <c r="N125" s="4">
        <f>N124+0.01</f>
        <v>2.299999999999999</v>
      </c>
      <c r="O125">
        <f t="shared" si="14"/>
        <v>0.46810800000000063</v>
      </c>
    </row>
    <row r="126" spans="1:7" ht="12.75">
      <c r="A126" s="11">
        <v>300</v>
      </c>
      <c r="B126">
        <f t="shared" si="15"/>
        <v>2.6338628922580973</v>
      </c>
      <c r="C126">
        <v>16560</v>
      </c>
      <c r="D126">
        <v>1941</v>
      </c>
      <c r="E126">
        <v>56</v>
      </c>
      <c r="F126">
        <v>442</v>
      </c>
      <c r="G126">
        <f>corr*(E126+F126)/(D126-14*2)</f>
        <v>0.2617735828541558</v>
      </c>
    </row>
    <row r="130" spans="1:4" ht="12.75">
      <c r="A130" t="s">
        <v>19</v>
      </c>
      <c r="C130" s="3"/>
      <c r="D130" s="3"/>
    </row>
    <row r="132" spans="1: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</row>
    <row r="133" spans="1:15" ht="12.75">
      <c r="A133">
        <v>105</v>
      </c>
      <c r="B133">
        <f aca="true" t="shared" si="16" ref="B133:B138">(A133-offset1)/gain1</f>
        <v>1.0061851753243483</v>
      </c>
      <c r="C133">
        <v>32767</v>
      </c>
      <c r="D133">
        <v>1020</v>
      </c>
      <c r="E133">
        <v>130</v>
      </c>
      <c r="F133">
        <v>812</v>
      </c>
      <c r="G133">
        <f>corr*(E133+F133)/(D133-14)</f>
        <v>0.9415954831013916</v>
      </c>
      <c r="N133">
        <v>2.44</v>
      </c>
      <c r="O133">
        <f aca="true" t="shared" si="17" ref="O133:O138">0.5066*N133^3-3.7097*N133^2+8.4413*N133-5.3681</f>
        <v>0.5018708543999981</v>
      </c>
    </row>
    <row r="134" spans="1:15" ht="12.75">
      <c r="A134" s="11">
        <v>210</v>
      </c>
      <c r="B134">
        <f t="shared" si="16"/>
        <v>1.8826270229040591</v>
      </c>
      <c r="C134">
        <v>41118</v>
      </c>
      <c r="D134">
        <v>1948</v>
      </c>
      <c r="E134">
        <v>183</v>
      </c>
      <c r="F134">
        <v>1259</v>
      </c>
      <c r="G134">
        <f>corr*(E134+F134)/(D134-14*2)</f>
        <v>0.7552234666666667</v>
      </c>
      <c r="N134">
        <f>N133+0.01</f>
        <v>2.4499999999999997</v>
      </c>
      <c r="O134">
        <f t="shared" si="17"/>
        <v>0.4957336750000021</v>
      </c>
    </row>
    <row r="135" spans="1:15" ht="12.75">
      <c r="A135">
        <v>240</v>
      </c>
      <c r="B135">
        <f t="shared" si="16"/>
        <v>2.133038979355405</v>
      </c>
      <c r="C135">
        <v>32813</v>
      </c>
      <c r="D135">
        <v>2077</v>
      </c>
      <c r="E135">
        <v>166</v>
      </c>
      <c r="F135">
        <v>1215</v>
      </c>
      <c r="G135">
        <f>corr*(E135+F135)/(D135-14*2)</f>
        <v>0.6777400722303563</v>
      </c>
      <c r="N135">
        <f>N134+0.01</f>
        <v>2.4599999999999995</v>
      </c>
      <c r="O135">
        <f t="shared" si="17"/>
        <v>0.4895992576000001</v>
      </c>
    </row>
    <row r="136" spans="1:15" ht="12.75">
      <c r="A136">
        <v>270</v>
      </c>
      <c r="B136">
        <f t="shared" si="16"/>
        <v>2.3834509358067515</v>
      </c>
      <c r="C136">
        <v>25326</v>
      </c>
      <c r="D136">
        <v>1905</v>
      </c>
      <c r="E136">
        <v>122</v>
      </c>
      <c r="F136">
        <v>873</v>
      </c>
      <c r="G136">
        <f>corr*(E136+F136)/(D136-14*2)</f>
        <v>0.5330528289824188</v>
      </c>
      <c r="N136">
        <f>N135+0.01</f>
        <v>2.4699999999999993</v>
      </c>
      <c r="O136">
        <f t="shared" si="17"/>
        <v>0.4834706418000021</v>
      </c>
    </row>
    <row r="137" spans="1:15" ht="12.75">
      <c r="A137">
        <v>300</v>
      </c>
      <c r="B137">
        <f t="shared" si="16"/>
        <v>2.6338628922580973</v>
      </c>
      <c r="C137">
        <v>21484</v>
      </c>
      <c r="D137">
        <v>1973</v>
      </c>
      <c r="E137">
        <v>80</v>
      </c>
      <c r="F137">
        <v>672</v>
      </c>
      <c r="G137">
        <f>corr*(E137+F137)/(D137-14*2)</f>
        <v>0.3887851598971722</v>
      </c>
      <c r="N137">
        <f>N136+0.01</f>
        <v>2.479999999999999</v>
      </c>
      <c r="O137">
        <f t="shared" si="17"/>
        <v>0.4773508672000002</v>
      </c>
    </row>
    <row r="138" spans="1:15" ht="12.75">
      <c r="A138">
        <v>330</v>
      </c>
      <c r="B138">
        <f t="shared" si="16"/>
        <v>2.884274848709443</v>
      </c>
      <c r="C138">
        <v>15355</v>
      </c>
      <c r="D138">
        <v>2015</v>
      </c>
      <c r="E138">
        <v>62</v>
      </c>
      <c r="F138">
        <v>477</v>
      </c>
      <c r="G138">
        <f>corr*(E138+F138)/(D138-14*2)</f>
        <v>0.2727736044287871</v>
      </c>
      <c r="N138">
        <f>N137+0.01</f>
        <v>2.489999999999999</v>
      </c>
      <c r="O138">
        <f t="shared" si="17"/>
        <v>0.4712429733999972</v>
      </c>
    </row>
    <row r="142" spans="1:4" ht="12.75">
      <c r="A142" t="s">
        <v>52</v>
      </c>
      <c r="C142" s="3"/>
      <c r="D142" s="3"/>
    </row>
    <row r="144" spans="1:7" ht="12.75">
      <c r="A144" t="s">
        <v>0</v>
      </c>
      <c r="B144" t="s">
        <v>1</v>
      </c>
      <c r="C144" t="s">
        <v>2</v>
      </c>
      <c r="D144" t="s">
        <v>3</v>
      </c>
      <c r="E144" t="s">
        <v>4</v>
      </c>
      <c r="F144" t="s">
        <v>5</v>
      </c>
      <c r="G144" t="s">
        <v>6</v>
      </c>
    </row>
    <row r="145" spans="1:7" ht="12.75">
      <c r="A145">
        <v>105</v>
      </c>
      <c r="B145">
        <f aca="true" t="shared" si="18" ref="B145:B150">(A145-offset1)/gain1</f>
        <v>1.0061851753243483</v>
      </c>
      <c r="C145">
        <v>30994</v>
      </c>
      <c r="D145">
        <v>1012</v>
      </c>
      <c r="E145">
        <v>135</v>
      </c>
      <c r="F145">
        <v>828</v>
      </c>
      <c r="G145">
        <f>1.019459*(E145+F145)/(D145-14)</f>
        <v>0.9837064298597193</v>
      </c>
    </row>
    <row r="146" spans="1:15" ht="12.75">
      <c r="A146">
        <v>240</v>
      </c>
      <c r="B146">
        <f t="shared" si="18"/>
        <v>2.133038979355405</v>
      </c>
      <c r="C146">
        <v>28864</v>
      </c>
      <c r="D146">
        <v>2018</v>
      </c>
      <c r="E146">
        <v>185</v>
      </c>
      <c r="F146">
        <v>1306</v>
      </c>
      <c r="G146">
        <f>1.019459*(E146+F146)/(D146-14*2)</f>
        <v>0.7638258135678391</v>
      </c>
      <c r="N146">
        <v>2.77</v>
      </c>
      <c r="O146">
        <f>0.161*N146^3-1.4269*N146^2+3.6636*N146-2.1201</f>
        <v>0.501494203</v>
      </c>
    </row>
    <row r="147" spans="1:15" ht="12.75">
      <c r="A147">
        <v>270</v>
      </c>
      <c r="B147">
        <f t="shared" si="18"/>
        <v>2.3834509358067515</v>
      </c>
      <c r="C147">
        <v>27960</v>
      </c>
      <c r="D147">
        <v>2002</v>
      </c>
      <c r="E147">
        <v>178</v>
      </c>
      <c r="F147">
        <v>1157</v>
      </c>
      <c r="G147">
        <f>1.019459*(E147+F147)/(D147-14*2)</f>
        <v>0.6894517553191488</v>
      </c>
      <c r="N147">
        <f aca="true" t="shared" si="19" ref="N147:N152">N146+0.01</f>
        <v>2.78</v>
      </c>
      <c r="O147">
        <f aca="true" t="shared" si="20" ref="O147:O152">0.161*N147^3-1.4269*N147^2+3.6636*N147-2.1201</f>
        <v>0.49613131200000193</v>
      </c>
    </row>
    <row r="148" spans="1:15" ht="12.75">
      <c r="A148">
        <v>300</v>
      </c>
      <c r="B148">
        <f t="shared" si="18"/>
        <v>2.6338628922580973</v>
      </c>
      <c r="C148">
        <v>22011</v>
      </c>
      <c r="D148">
        <v>1962</v>
      </c>
      <c r="E148">
        <v>131</v>
      </c>
      <c r="F148">
        <v>944</v>
      </c>
      <c r="G148">
        <f>1.019459*(E148+F148)/(D148-14*2)</f>
        <v>0.5666589581178904</v>
      </c>
      <c r="N148">
        <f t="shared" si="19"/>
        <v>2.7899999999999996</v>
      </c>
      <c r="O148">
        <f t="shared" si="20"/>
        <v>0.4907515889999994</v>
      </c>
    </row>
    <row r="149" spans="1:15" ht="12.75">
      <c r="A149">
        <v>330</v>
      </c>
      <c r="B149">
        <f t="shared" si="18"/>
        <v>2.884274848709443</v>
      </c>
      <c r="C149">
        <v>18227</v>
      </c>
      <c r="D149">
        <v>1874</v>
      </c>
      <c r="E149">
        <v>94</v>
      </c>
      <c r="F149">
        <v>708</v>
      </c>
      <c r="G149">
        <f>1.019459*(E149+F149)/(D149-14*2)</f>
        <v>0.4429068894907909</v>
      </c>
      <c r="N149">
        <f t="shared" si="19"/>
        <v>2.7999999999999994</v>
      </c>
      <c r="O149">
        <f t="shared" si="20"/>
        <v>0.48535600000000034</v>
      </c>
    </row>
    <row r="150" spans="1:15" ht="12.75">
      <c r="A150">
        <v>360</v>
      </c>
      <c r="B150">
        <f t="shared" si="18"/>
        <v>3.134686805160789</v>
      </c>
      <c r="C150">
        <v>15484</v>
      </c>
      <c r="D150">
        <v>1975</v>
      </c>
      <c r="E150">
        <v>63</v>
      </c>
      <c r="F150">
        <v>512</v>
      </c>
      <c r="G150">
        <f>1.019459*(E150+F150)/(D150-14*2)</f>
        <v>0.30107289419619926</v>
      </c>
      <c r="N150">
        <f t="shared" si="19"/>
        <v>2.809999999999999</v>
      </c>
      <c r="O150">
        <f t="shared" si="20"/>
        <v>0.47994551100000127</v>
      </c>
    </row>
    <row r="151" spans="14:15" ht="12.75">
      <c r="N151">
        <f t="shared" si="19"/>
        <v>2.819999999999999</v>
      </c>
      <c r="O151">
        <f t="shared" si="20"/>
        <v>0.47452108800000214</v>
      </c>
    </row>
    <row r="152" spans="14:15" ht="12.75">
      <c r="N152">
        <f t="shared" si="19"/>
        <v>2.8299999999999987</v>
      </c>
      <c r="O152">
        <f t="shared" si="20"/>
        <v>0.4690836969999994</v>
      </c>
    </row>
    <row r="153" spans="1:4" ht="12.75">
      <c r="A153" t="s">
        <v>53</v>
      </c>
      <c r="C153" s="3"/>
      <c r="D153" s="3"/>
    </row>
    <row r="155" spans="1:7" ht="12.75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</row>
    <row r="156" spans="1:7" ht="12.75">
      <c r="A156">
        <v>105</v>
      </c>
      <c r="B156">
        <f>(A156-offset1)/gain1</f>
        <v>1.0061851753243483</v>
      </c>
      <c r="C156">
        <v>31660</v>
      </c>
      <c r="D156">
        <v>913</v>
      </c>
      <c r="E156">
        <v>131</v>
      </c>
      <c r="F156">
        <v>741</v>
      </c>
      <c r="G156">
        <f>1.019459*(E156+F156)/(D156-14)</f>
        <v>0.9888412102335927</v>
      </c>
    </row>
    <row r="157" spans="1:15" ht="12.75">
      <c r="A157">
        <v>270</v>
      </c>
      <c r="B157">
        <f>(A157-offset1)/gain1</f>
        <v>2.3834509358067515</v>
      </c>
      <c r="G157">
        <f>1.019459*(E157+F157)/(D157-14)</f>
        <v>0</v>
      </c>
      <c r="N157">
        <v>2.97</v>
      </c>
      <c r="O157">
        <f>0.0445*N157^2-0.733*N157+2.2829</f>
        <v>0.49842005</v>
      </c>
    </row>
    <row r="158" spans="1:15" ht="12.75">
      <c r="A158">
        <v>300</v>
      </c>
      <c r="B158">
        <f>(A158-offset1)/gain1</f>
        <v>2.6338628922580973</v>
      </c>
      <c r="C158">
        <v>25091</v>
      </c>
      <c r="D158">
        <v>1881</v>
      </c>
      <c r="E158">
        <v>147</v>
      </c>
      <c r="F158">
        <v>1054</v>
      </c>
      <c r="G158">
        <f>1.019459*(E158+F158)/(D158-14*2)</f>
        <v>0.6607502746896923</v>
      </c>
      <c r="N158">
        <f>N157+0.01</f>
        <v>2.98</v>
      </c>
      <c r="O158">
        <f>0.0445*N158^2-0.733*N158+2.2829</f>
        <v>0.49373780000000034</v>
      </c>
    </row>
    <row r="159" spans="1:15" ht="12.75">
      <c r="A159">
        <v>330</v>
      </c>
      <c r="B159">
        <f>(A159-offset1)/gain1</f>
        <v>2.884274848709443</v>
      </c>
      <c r="C159">
        <v>21550</v>
      </c>
      <c r="D159">
        <v>1985</v>
      </c>
      <c r="E159">
        <v>132</v>
      </c>
      <c r="F159">
        <v>902</v>
      </c>
      <c r="G159">
        <f>1.019459*(E159+F159)/(D159-14*2)</f>
        <v>0.5386410863566683</v>
      </c>
      <c r="N159">
        <f>N158+0.01</f>
        <v>2.9899999999999998</v>
      </c>
      <c r="O159">
        <f>0.0445*N159^2-0.733*N159+2.2829</f>
        <v>0.4890644500000003</v>
      </c>
    </row>
    <row r="160" spans="1:15" ht="12.75">
      <c r="A160">
        <v>360</v>
      </c>
      <c r="B160">
        <f>(A160-offset1)/gain1</f>
        <v>3.134686805160789</v>
      </c>
      <c r="C160">
        <v>21313</v>
      </c>
      <c r="D160">
        <v>2035</v>
      </c>
      <c r="E160">
        <v>104</v>
      </c>
      <c r="F160">
        <v>727</v>
      </c>
      <c r="G160">
        <f>1.019459*(E160+F160)/(D160-14*2)</f>
        <v>0.42210783707025407</v>
      </c>
      <c r="N160">
        <f>N159+0.01</f>
        <v>2.9999999999999996</v>
      </c>
      <c r="O160">
        <f>0.0445*N160^2-0.733*N160+2.2829</f>
        <v>0.48440000000000016</v>
      </c>
    </row>
    <row r="161" spans="14:15" ht="12.75">
      <c r="N161">
        <f>N160+0.01</f>
        <v>3.0099999999999993</v>
      </c>
      <c r="O161">
        <f>0.0445*N161^2-0.733*N161+2.2829</f>
        <v>0.47974445000000054</v>
      </c>
    </row>
    <row r="165" spans="1:4" ht="12.75">
      <c r="A165" t="s">
        <v>57</v>
      </c>
      <c r="C165" s="3"/>
      <c r="D165" s="3"/>
    </row>
    <row r="167" spans="1:7" ht="12.75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</row>
    <row r="168" spans="1:15" ht="12.75">
      <c r="A168">
        <v>105</v>
      </c>
      <c r="B168">
        <f>(A168-offset1)/gain1</f>
        <v>1.0061851753243483</v>
      </c>
      <c r="C168">
        <v>32683</v>
      </c>
      <c r="D168">
        <v>948</v>
      </c>
      <c r="E168">
        <v>133</v>
      </c>
      <c r="F168">
        <v>771</v>
      </c>
      <c r="G168">
        <f>1.019459*(E168+F168)/(D168-14)</f>
        <v>0.9867140642398287</v>
      </c>
      <c r="N168">
        <v>3.15</v>
      </c>
      <c r="O168">
        <f>-0.0831*N168^2+0.0334*N168+1.2189</f>
        <v>0.4995502500000002</v>
      </c>
    </row>
    <row r="169" spans="1:15" ht="12.75">
      <c r="A169">
        <v>300</v>
      </c>
      <c r="B169">
        <f>(A169-offset1)/gain1</f>
        <v>2.6338628922580973</v>
      </c>
      <c r="G169">
        <f>1.019459*(E169+F169)/(D169-14)</f>
        <v>0</v>
      </c>
      <c r="N169">
        <f aca="true" t="shared" si="21" ref="N169:N174">N168+0.01</f>
        <v>3.1599999999999997</v>
      </c>
      <c r="O169">
        <f aca="true" t="shared" si="22" ref="O169:O174">-0.0831*N169^2+0.0334*N169+1.2189</f>
        <v>0.4946406400000003</v>
      </c>
    </row>
    <row r="170" spans="1:15" ht="12.75">
      <c r="A170">
        <v>330</v>
      </c>
      <c r="B170">
        <f>(A170-offset1)/gain1</f>
        <v>2.884274848709443</v>
      </c>
      <c r="C170">
        <v>24974</v>
      </c>
      <c r="D170">
        <v>1902</v>
      </c>
      <c r="E170">
        <v>143</v>
      </c>
      <c r="F170">
        <v>1003</v>
      </c>
      <c r="G170">
        <f>1.019459*(E170+F170)/(D170-14*2)</f>
        <v>0.6234258345784418</v>
      </c>
      <c r="N170">
        <f t="shared" si="21"/>
        <v>3.1699999999999995</v>
      </c>
      <c r="O170">
        <f t="shared" si="22"/>
        <v>0.4897144100000005</v>
      </c>
    </row>
    <row r="171" spans="1:15" ht="12.75">
      <c r="A171">
        <v>360</v>
      </c>
      <c r="B171">
        <f>(A171-offset1)/gain1</f>
        <v>3.134686805160789</v>
      </c>
      <c r="C171">
        <v>20999</v>
      </c>
      <c r="D171">
        <v>1900</v>
      </c>
      <c r="E171">
        <v>117</v>
      </c>
      <c r="F171">
        <v>813</v>
      </c>
      <c r="G171">
        <f>1.019459*(E171+F171)/(D171-14*2)</f>
        <v>0.5064620032051281</v>
      </c>
      <c r="N171">
        <f t="shared" si="21"/>
        <v>3.1799999999999993</v>
      </c>
      <c r="O171">
        <f t="shared" si="22"/>
        <v>0.48477156000000055</v>
      </c>
    </row>
    <row r="172" spans="1:15" ht="12.75">
      <c r="A172">
        <v>390</v>
      </c>
      <c r="B172">
        <f>(A172-offset1)/gain1</f>
        <v>3.3850987616121353</v>
      </c>
      <c r="C172">
        <v>18111</v>
      </c>
      <c r="D172">
        <v>1924</v>
      </c>
      <c r="E172">
        <v>95</v>
      </c>
      <c r="F172">
        <v>610</v>
      </c>
      <c r="G172">
        <f>1.019459*(E172+F172)/(D172-14*2)</f>
        <v>0.3790709889240506</v>
      </c>
      <c r="N172">
        <f t="shared" si="21"/>
        <v>3.189999999999999</v>
      </c>
      <c r="O172">
        <f t="shared" si="22"/>
        <v>0.4798120900000006</v>
      </c>
    </row>
    <row r="173" spans="14:15" ht="12.75">
      <c r="N173">
        <f t="shared" si="21"/>
        <v>3.199999999999999</v>
      </c>
      <c r="O173">
        <f t="shared" si="22"/>
        <v>0.4748360000000007</v>
      </c>
    </row>
    <row r="174" spans="14:15" ht="12.75">
      <c r="N174">
        <f t="shared" si="21"/>
        <v>3.2099999999999986</v>
      </c>
      <c r="O174">
        <f t="shared" si="22"/>
        <v>0.4698432900000008</v>
      </c>
    </row>
    <row r="175" spans="1:4" ht="12.75">
      <c r="A175" t="s">
        <v>58</v>
      </c>
      <c r="C175" s="3"/>
      <c r="D175" s="3"/>
    </row>
    <row r="177" spans="1:15" ht="12.75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5</v>
      </c>
      <c r="G177" t="s">
        <v>6</v>
      </c>
      <c r="N177">
        <v>3.26</v>
      </c>
      <c r="O177">
        <f>-0.0646*N177^2-0.1165*N177+1.5652</f>
        <v>0.49886703999999993</v>
      </c>
    </row>
    <row r="178" spans="1:15" ht="12.75">
      <c r="A178" s="10">
        <v>105</v>
      </c>
      <c r="B178">
        <f>(A178-offset1)/gain1</f>
        <v>1.0061851753243483</v>
      </c>
      <c r="C178">
        <v>34116</v>
      </c>
      <c r="D178">
        <v>1028</v>
      </c>
      <c r="E178">
        <v>129</v>
      </c>
      <c r="F178">
        <v>846</v>
      </c>
      <c r="G178">
        <f>1.019459*(E178+F178)/(D178-14)</f>
        <v>0.9802490384615383</v>
      </c>
      <c r="N178">
        <f>N177+0.01</f>
        <v>3.2699999999999996</v>
      </c>
      <c r="O178">
        <f aca="true" t="shared" si="23" ref="O178:O184">-0.0646*N178^2-0.1165*N178+1.5652</f>
        <v>0.4934836600000001</v>
      </c>
    </row>
    <row r="179" spans="1:15" ht="12.75">
      <c r="A179">
        <v>330</v>
      </c>
      <c r="B179">
        <f>(A179-offset1)/gain1</f>
        <v>2.884274848709443</v>
      </c>
      <c r="C179">
        <v>26328</v>
      </c>
      <c r="D179">
        <v>1918</v>
      </c>
      <c r="E179">
        <v>181</v>
      </c>
      <c r="F179">
        <v>1102</v>
      </c>
      <c r="G179">
        <f>1.019459*(E179+F179)/(D179-14*2)</f>
        <v>0.6920454481481481</v>
      </c>
      <c r="N179">
        <f aca="true" t="shared" si="24" ref="N179:N184">N178+0.01</f>
        <v>3.2799999999999994</v>
      </c>
      <c r="O179">
        <f t="shared" si="23"/>
        <v>0.4880873600000002</v>
      </c>
    </row>
    <row r="180" spans="1:15" ht="12.75">
      <c r="A180">
        <v>360</v>
      </c>
      <c r="B180">
        <f>(A180-offset1)/gain1</f>
        <v>3.134686805160789</v>
      </c>
      <c r="C180">
        <v>78882</v>
      </c>
      <c r="D180">
        <v>1973</v>
      </c>
      <c r="E180">
        <v>134</v>
      </c>
      <c r="F180">
        <v>945</v>
      </c>
      <c r="G180">
        <f>1.019459*(E180+F180)/(D180-14*2)</f>
        <v>0.5655507768637531</v>
      </c>
      <c r="N180">
        <f t="shared" si="24"/>
        <v>3.289999999999999</v>
      </c>
      <c r="O180">
        <f t="shared" si="23"/>
        <v>0.4826781400000004</v>
      </c>
    </row>
    <row r="181" spans="1:15" ht="12.75">
      <c r="A181">
        <v>390</v>
      </c>
      <c r="B181">
        <f>(A181-offset1)/gain1</f>
        <v>3.3850987616121353</v>
      </c>
      <c r="C181">
        <v>21581</v>
      </c>
      <c r="D181">
        <v>2034</v>
      </c>
      <c r="E181">
        <v>100</v>
      </c>
      <c r="F181">
        <v>748</v>
      </c>
      <c r="G181">
        <f>1.019459*(E181+F181)/(D181-14*2)</f>
        <v>0.4309577427716849</v>
      </c>
      <c r="N181">
        <f t="shared" si="24"/>
        <v>3.299999999999999</v>
      </c>
      <c r="O181">
        <f t="shared" si="23"/>
        <v>0.47725600000000035</v>
      </c>
    </row>
    <row r="182" spans="14:15" ht="12.75">
      <c r="N182">
        <f t="shared" si="24"/>
        <v>3.3099999999999987</v>
      </c>
      <c r="O182">
        <f t="shared" si="23"/>
        <v>0.4718209400000004</v>
      </c>
    </row>
    <row r="183" spans="14:15" ht="12.75">
      <c r="N183">
        <f t="shared" si="24"/>
        <v>3.3199999999999985</v>
      </c>
      <c r="O183">
        <f t="shared" si="23"/>
        <v>0.4663729600000006</v>
      </c>
    </row>
    <row r="184" spans="1:15" ht="12.75">
      <c r="A184" t="s">
        <v>59</v>
      </c>
      <c r="C184" s="3"/>
      <c r="D184" s="3"/>
      <c r="N184">
        <f t="shared" si="24"/>
        <v>3.3299999999999983</v>
      </c>
      <c r="O184">
        <f t="shared" si="23"/>
        <v>0.46091206000000073</v>
      </c>
    </row>
    <row r="186" spans="1:7" ht="12.75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5</v>
      </c>
      <c r="G186" t="s">
        <v>6</v>
      </c>
    </row>
    <row r="187" spans="1:15" ht="12.75">
      <c r="A187">
        <v>105</v>
      </c>
      <c r="B187">
        <f>(A187-offset1)/gain1</f>
        <v>1.0061851753243483</v>
      </c>
      <c r="C187">
        <v>624137</v>
      </c>
      <c r="D187">
        <v>957</v>
      </c>
      <c r="E187">
        <v>122</v>
      </c>
      <c r="F187">
        <v>804</v>
      </c>
      <c r="G187">
        <f>1.019459*(E187+F187)/(D187-14)</f>
        <v>1.0010806299045598</v>
      </c>
      <c r="N187">
        <v>3.32</v>
      </c>
      <c r="O187">
        <f>1.8826*N187^3-18.375*N187^2+59.05*N187-61.903</f>
        <v>0.4989571967999993</v>
      </c>
    </row>
    <row r="188" spans="1:15" ht="12.75">
      <c r="A188">
        <v>330</v>
      </c>
      <c r="B188">
        <f>(A188-offset1)/gain1</f>
        <v>2.884274848709443</v>
      </c>
      <c r="C188">
        <v>29289</v>
      </c>
      <c r="D188">
        <v>1982</v>
      </c>
      <c r="E188">
        <v>169</v>
      </c>
      <c r="F188">
        <v>1221</v>
      </c>
      <c r="G188">
        <f>1.019459*(E188+F188)/(D188-14*2)</f>
        <v>0.7252036898669395</v>
      </c>
      <c r="N188">
        <f>N187+0.01</f>
        <v>3.3299999999999996</v>
      </c>
      <c r="O188">
        <f aca="true" t="shared" si="25" ref="O188:O194">1.8826*N188^3-18.375*N188^2+59.05*N188-61.903</f>
        <v>0.4919197561999553</v>
      </c>
    </row>
    <row r="189" spans="1:15" ht="12.75">
      <c r="A189">
        <v>360</v>
      </c>
      <c r="B189">
        <f>(A189-offset1)/gain1</f>
        <v>3.134686805160789</v>
      </c>
      <c r="C189">
        <v>25451</v>
      </c>
      <c r="D189">
        <v>1989</v>
      </c>
      <c r="E189">
        <v>157</v>
      </c>
      <c r="F189">
        <v>1062</v>
      </c>
      <c r="G189">
        <f>1.019459*(E189+F189)/(D189-14*2)</f>
        <v>0.6337177567567568</v>
      </c>
      <c r="N189">
        <f aca="true" t="shared" si="26" ref="N189:N194">N188+0.01</f>
        <v>3.3399999999999994</v>
      </c>
      <c r="O189">
        <f t="shared" si="25"/>
        <v>0.48496875039995047</v>
      </c>
    </row>
    <row r="190" spans="1:15" ht="12.75">
      <c r="A190">
        <v>390</v>
      </c>
      <c r="B190">
        <f>(A190-offset1)/gain1</f>
        <v>3.3850987616121353</v>
      </c>
      <c r="C190">
        <v>22004</v>
      </c>
      <c r="D190">
        <v>1895</v>
      </c>
      <c r="E190">
        <v>111</v>
      </c>
      <c r="F190">
        <v>728</v>
      </c>
      <c r="G190">
        <f>1.019459*(E190+F190)/(D190-14*2)</f>
        <v>0.4581286025709694</v>
      </c>
      <c r="N190">
        <f t="shared" si="26"/>
        <v>3.349999999999999</v>
      </c>
      <c r="O190">
        <f t="shared" si="25"/>
        <v>0.47811547500000273</v>
      </c>
    </row>
    <row r="191" spans="1:15" ht="12.75">
      <c r="A191">
        <v>420</v>
      </c>
      <c r="B191">
        <f>(A191-offset1)/gain1</f>
        <v>3.635510718063481</v>
      </c>
      <c r="C191">
        <v>20588</v>
      </c>
      <c r="D191">
        <v>2030</v>
      </c>
      <c r="E191">
        <v>87</v>
      </c>
      <c r="F191">
        <v>651</v>
      </c>
      <c r="G191">
        <f>1.019459*(E191+F191)/(D191-14*2)</f>
        <v>0.3758045664335664</v>
      </c>
      <c r="N191">
        <f t="shared" si="26"/>
        <v>3.359999999999999</v>
      </c>
      <c r="O191">
        <f t="shared" si="25"/>
        <v>0.47137122560001643</v>
      </c>
    </row>
    <row r="192" spans="14:15" ht="12.75">
      <c r="N192">
        <f t="shared" si="26"/>
        <v>3.3699999999999988</v>
      </c>
      <c r="O192">
        <f t="shared" si="25"/>
        <v>0.46474729779998114</v>
      </c>
    </row>
    <row r="193" spans="14:15" ht="12.75">
      <c r="N193">
        <f t="shared" si="26"/>
        <v>3.3799999999999986</v>
      </c>
      <c r="O193">
        <f t="shared" si="25"/>
        <v>0.45825498720000013</v>
      </c>
    </row>
    <row r="194" spans="14:15" ht="12.75">
      <c r="N194">
        <f t="shared" si="26"/>
        <v>3.3899999999999983</v>
      </c>
      <c r="O194">
        <f t="shared" si="25"/>
        <v>0.45190558940000614</v>
      </c>
    </row>
    <row r="196" spans="1:4" ht="12.75">
      <c r="A196" t="s">
        <v>60</v>
      </c>
      <c r="C196" s="3"/>
      <c r="D196" s="3"/>
    </row>
    <row r="198" spans="1:7" ht="12.75">
      <c r="A198" t="s">
        <v>0</v>
      </c>
      <c r="B198" t="s">
        <v>1</v>
      </c>
      <c r="C198" t="s">
        <v>2</v>
      </c>
      <c r="D198" t="s">
        <v>3</v>
      </c>
      <c r="E198" t="s">
        <v>4</v>
      </c>
      <c r="F198" t="s">
        <v>5</v>
      </c>
      <c r="G198" t="s">
        <v>6</v>
      </c>
    </row>
    <row r="199" spans="1:7" ht="12.75">
      <c r="A199">
        <v>105</v>
      </c>
      <c r="B199">
        <f>(A199-offset1)/gain1</f>
        <v>1.0061851753243483</v>
      </c>
      <c r="G199">
        <f>1.019459*(E199+F199)/(D199-14)</f>
        <v>0</v>
      </c>
    </row>
    <row r="200" spans="1:15" ht="12.75">
      <c r="A200">
        <v>330</v>
      </c>
      <c r="B200">
        <f>(A200-offset1)/gain1</f>
        <v>2.884274848709443</v>
      </c>
      <c r="G200">
        <f>1.019459*(E200+F200)/(D200-14*2)</f>
        <v>0</v>
      </c>
      <c r="N200">
        <v>3.44</v>
      </c>
      <c r="O200">
        <f>-0.5064*N200+2.2443</f>
        <v>0.5022840000000002</v>
      </c>
    </row>
    <row r="201" spans="1:15" ht="12.75">
      <c r="A201">
        <v>360</v>
      </c>
      <c r="B201">
        <f>(A201-offset1)/gain1</f>
        <v>3.134686805160789</v>
      </c>
      <c r="G201">
        <f>1.019459*(E201+F201)/(D201-14*2)</f>
        <v>0</v>
      </c>
      <c r="N201">
        <f aca="true" t="shared" si="27" ref="N201:N206">N200+0.01</f>
        <v>3.4499999999999997</v>
      </c>
      <c r="O201">
        <f aca="true" t="shared" si="28" ref="O201:O206">-0.5064*N201+2.2443</f>
        <v>0.4972200000000002</v>
      </c>
    </row>
    <row r="202" spans="1:15" ht="12.75">
      <c r="A202">
        <v>390</v>
      </c>
      <c r="B202">
        <f>(A202-offset1)/gain1</f>
        <v>3.3850987616121353</v>
      </c>
      <c r="C202">
        <v>97815</v>
      </c>
      <c r="D202">
        <v>1944</v>
      </c>
      <c r="E202">
        <v>132</v>
      </c>
      <c r="F202">
        <v>864</v>
      </c>
      <c r="G202">
        <f>1.019459*(E202+F202)/(D202-14*2)</f>
        <v>0.5299484154488517</v>
      </c>
      <c r="N202">
        <f t="shared" si="27"/>
        <v>3.4599999999999995</v>
      </c>
      <c r="O202">
        <f t="shared" si="28"/>
        <v>0.49215600000000026</v>
      </c>
    </row>
    <row r="203" spans="1:15" ht="12.75">
      <c r="A203">
        <v>420</v>
      </c>
      <c r="B203">
        <f>(A203-offset1)/gain1</f>
        <v>3.635510718063481</v>
      </c>
      <c r="C203">
        <v>102615</v>
      </c>
      <c r="D203">
        <v>1955</v>
      </c>
      <c r="E203">
        <v>84</v>
      </c>
      <c r="F203">
        <v>678</v>
      </c>
      <c r="G203">
        <f>1.019459*(E203+F203)/(D203-14*2)</f>
        <v>0.40312805293201864</v>
      </c>
      <c r="N203">
        <f t="shared" si="27"/>
        <v>3.4699999999999993</v>
      </c>
      <c r="O203">
        <f t="shared" si="28"/>
        <v>0.4870920000000005</v>
      </c>
    </row>
    <row r="204" spans="14:15" ht="12.75">
      <c r="N204">
        <f t="shared" si="27"/>
        <v>3.479999999999999</v>
      </c>
      <c r="O204">
        <f t="shared" si="28"/>
        <v>0.48202800000000057</v>
      </c>
    </row>
    <row r="205" spans="14:15" ht="12.75">
      <c r="N205">
        <f t="shared" si="27"/>
        <v>3.489999999999999</v>
      </c>
      <c r="O205">
        <f t="shared" si="28"/>
        <v>0.4769640000000006</v>
      </c>
    </row>
    <row r="206" spans="14:15" ht="12.75">
      <c r="N206">
        <f t="shared" si="27"/>
        <v>3.4999999999999987</v>
      </c>
      <c r="O206">
        <f t="shared" si="28"/>
        <v>0.4719000000000009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6"/>
  <sheetViews>
    <sheetView tabSelected="1" workbookViewId="0" topLeftCell="A24">
      <selection activeCell="L2" sqref="L2:N18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50</v>
      </c>
      <c r="C1" t="s">
        <v>43</v>
      </c>
      <c r="E1" t="s">
        <v>44</v>
      </c>
      <c r="H1" t="s">
        <v>51</v>
      </c>
      <c r="L1" t="s">
        <v>20</v>
      </c>
      <c r="M1" t="s">
        <v>21</v>
      </c>
      <c r="N1" t="s">
        <v>15</v>
      </c>
      <c r="O1" t="s">
        <v>56</v>
      </c>
      <c r="Q1" t="s">
        <v>11</v>
      </c>
      <c r="R1" t="s">
        <v>11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22</v>
      </c>
      <c r="L2">
        <v>40</v>
      </c>
      <c r="M2">
        <f>G16</f>
        <v>0</v>
      </c>
      <c r="S2" s="4"/>
      <c r="T2" s="4"/>
      <c r="U2" s="4"/>
      <c r="V2" s="4"/>
      <c r="W2" s="4"/>
      <c r="X2" s="4"/>
      <c r="Y2" s="4"/>
    </row>
    <row r="3" spans="3:25" ht="12.75">
      <c r="C3">
        <v>119.80258620689655</v>
      </c>
      <c r="E3">
        <v>-15.543586206896553</v>
      </c>
      <c r="H3">
        <v>1.005568</v>
      </c>
      <c r="L3">
        <v>60</v>
      </c>
      <c r="M3">
        <f>G24</f>
        <v>0.15112960832791153</v>
      </c>
      <c r="S3" s="5"/>
      <c r="T3" s="5"/>
      <c r="U3" s="5"/>
      <c r="V3" s="4"/>
      <c r="W3" s="5"/>
      <c r="X3" s="5"/>
      <c r="Y3" s="6"/>
    </row>
    <row r="4" spans="12:25" ht="12.75">
      <c r="L4">
        <v>80</v>
      </c>
      <c r="M4">
        <f>G31</f>
        <v>0.2825613583973655</v>
      </c>
      <c r="S4" s="5"/>
      <c r="T4" s="5"/>
      <c r="U4" s="5"/>
      <c r="V4" s="4"/>
      <c r="W4" s="5"/>
      <c r="X4" s="5"/>
      <c r="Y4" s="5"/>
    </row>
    <row r="5" spans="12:25" ht="12.75">
      <c r="L5">
        <v>100</v>
      </c>
      <c r="M5">
        <f>G40</f>
        <v>0.445764559955382</v>
      </c>
      <c r="N5">
        <f>N40</f>
        <v>0.96</v>
      </c>
      <c r="S5" s="5"/>
      <c r="T5" s="5"/>
      <c r="U5" s="5"/>
      <c r="V5" s="4"/>
      <c r="W5" s="5"/>
      <c r="X5" s="5"/>
      <c r="Y5" s="5"/>
    </row>
    <row r="6" spans="12:25" ht="12.75">
      <c r="L6">
        <v>130</v>
      </c>
      <c r="M6">
        <f>G50</f>
        <v>0.6664145408911448</v>
      </c>
      <c r="N6">
        <f>N51</f>
        <v>1.18</v>
      </c>
      <c r="S6" s="5"/>
      <c r="T6" s="5"/>
      <c r="U6" s="5"/>
      <c r="V6" s="4"/>
      <c r="W6" s="5"/>
      <c r="X6" s="5"/>
      <c r="Y6" s="5"/>
    </row>
    <row r="7" spans="12:25" ht="12.75">
      <c r="L7">
        <v>160</v>
      </c>
      <c r="M7">
        <f>G62</f>
        <v>0.7414247272727271</v>
      </c>
      <c r="N7" s="4">
        <f>N62</f>
        <v>1.35</v>
      </c>
      <c r="S7" s="5"/>
      <c r="T7" s="5"/>
      <c r="U7" s="5"/>
      <c r="V7" s="4"/>
      <c r="W7" s="5"/>
      <c r="X7" s="5"/>
      <c r="Y7" s="5"/>
    </row>
    <row r="8" spans="12:25" ht="12.75">
      <c r="L8">
        <v>200</v>
      </c>
      <c r="M8">
        <f>G77</f>
        <v>0.8250228363636364</v>
      </c>
      <c r="N8">
        <f>N78</f>
        <v>1.53</v>
      </c>
      <c r="S8" s="5"/>
      <c r="T8" s="8"/>
      <c r="U8" s="5"/>
      <c r="V8" s="4"/>
      <c r="W8" s="5"/>
      <c r="X8" s="5"/>
      <c r="Y8" s="5"/>
    </row>
    <row r="9" spans="12:25" ht="12.75">
      <c r="L9">
        <v>250</v>
      </c>
      <c r="M9">
        <f>G92</f>
        <v>0.8812593730684327</v>
      </c>
      <c r="N9">
        <f>N93</f>
        <v>1.75</v>
      </c>
      <c r="O9" s="4"/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300</v>
      </c>
      <c r="M10">
        <f>G107</f>
        <v>0.8885357920903956</v>
      </c>
      <c r="N10" s="4">
        <f>N107</f>
        <v>2</v>
      </c>
      <c r="O10" s="12"/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350</v>
      </c>
      <c r="M11">
        <f>G121</f>
        <v>0</v>
      </c>
      <c r="N11" s="4">
        <f>N120</f>
        <v>2.22</v>
      </c>
      <c r="O11" s="12"/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400</v>
      </c>
      <c r="M12">
        <f>G133</f>
        <v>0</v>
      </c>
      <c r="N12" s="4">
        <f>N133</f>
        <v>2.64</v>
      </c>
      <c r="O12" s="12"/>
      <c r="P12" s="4"/>
      <c r="Q12" s="4"/>
      <c r="S12" s="4"/>
      <c r="T12" s="4"/>
      <c r="U12" s="4"/>
      <c r="V12" s="4"/>
      <c r="W12" s="4"/>
      <c r="X12" s="4"/>
      <c r="Y12" s="4"/>
    </row>
    <row r="13" spans="1:25" ht="12.75">
      <c r="A13" t="s">
        <v>7</v>
      </c>
      <c r="L13">
        <v>450</v>
      </c>
      <c r="M13">
        <f>G145</f>
        <v>0.9746596227224008</v>
      </c>
      <c r="N13" s="4">
        <f>N146</f>
        <v>2.68</v>
      </c>
      <c r="O13" s="12"/>
      <c r="P13" s="4"/>
      <c r="Q13" s="4"/>
      <c r="S13" s="4"/>
      <c r="T13" s="4"/>
      <c r="U13" s="4"/>
      <c r="V13" s="4"/>
      <c r="W13" s="4"/>
      <c r="X13" s="4"/>
      <c r="Y13" s="4"/>
    </row>
    <row r="14" spans="12:17" ht="12.75">
      <c r="L14">
        <v>500</v>
      </c>
      <c r="N14" s="4">
        <f>N157</f>
        <v>2.97</v>
      </c>
      <c r="O14" s="4"/>
      <c r="P14" s="4"/>
      <c r="Q14" s="4"/>
    </row>
    <row r="15" spans="1:17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L15">
        <v>550</v>
      </c>
      <c r="M15">
        <f>G168</f>
        <v>0.9571226535031847</v>
      </c>
      <c r="N15" s="4">
        <f>N168</f>
        <v>3.15</v>
      </c>
      <c r="O15" s="4"/>
      <c r="P15" s="4"/>
      <c r="Q15" s="4"/>
    </row>
    <row r="16" spans="1:17" ht="12.75">
      <c r="A16">
        <v>105</v>
      </c>
      <c r="B16">
        <f>(A16-offset1)/gain1</f>
        <v>1.0061851753243483</v>
      </c>
      <c r="G16">
        <f>corr*(E16+F16)/(D16-14)</f>
        <v>0</v>
      </c>
      <c r="L16">
        <v>600</v>
      </c>
      <c r="M16">
        <f>G178</f>
        <v>0</v>
      </c>
      <c r="N16" s="4">
        <f>N177</f>
        <v>3.26</v>
      </c>
      <c r="O16" s="7"/>
      <c r="P16" s="5"/>
      <c r="Q16" s="4"/>
    </row>
    <row r="17" spans="12:17" ht="12.75">
      <c r="L17">
        <v>650</v>
      </c>
      <c r="M17">
        <f>G187</f>
        <v>0</v>
      </c>
      <c r="N17" s="5">
        <f>N187</f>
        <v>3.32</v>
      </c>
      <c r="O17" s="7"/>
      <c r="P17" s="4"/>
      <c r="Q17" s="4"/>
    </row>
    <row r="18" spans="12:17" ht="12.75">
      <c r="L18">
        <v>700</v>
      </c>
      <c r="N18" s="4">
        <f>N200</f>
        <v>3.44</v>
      </c>
      <c r="O18" s="4"/>
      <c r="P18" s="4"/>
      <c r="Q18" s="4"/>
    </row>
    <row r="19" spans="14:17" ht="12.75"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8</v>
      </c>
      <c r="N21" s="4"/>
      <c r="O21" s="4"/>
      <c r="P21" s="4"/>
      <c r="Q21" s="4"/>
    </row>
    <row r="22" spans="14:17" ht="12.75">
      <c r="N22" s="4"/>
      <c r="O22" s="4"/>
      <c r="P22" s="4"/>
      <c r="Q22" s="4"/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N23" s="4"/>
      <c r="O23" s="4"/>
      <c r="P23" s="4"/>
      <c r="Q23" s="4"/>
    </row>
    <row r="24" spans="1:17" ht="12.75">
      <c r="A24" s="1">
        <v>105</v>
      </c>
      <c r="B24">
        <f>(A24-offset1)/gain1</f>
        <v>1.0061851753243483</v>
      </c>
      <c r="C24">
        <v>214485</v>
      </c>
      <c r="D24">
        <v>1565</v>
      </c>
      <c r="E24">
        <v>26</v>
      </c>
      <c r="F24">
        <v>205</v>
      </c>
      <c r="G24">
        <f>corr*(E24+F24)/(D24-14*2)</f>
        <v>0.15112960832791153</v>
      </c>
      <c r="N24" s="4"/>
      <c r="O24" s="4"/>
      <c r="P24" s="4"/>
      <c r="Q24" s="4"/>
    </row>
    <row r="25" spans="14:17" ht="12.75">
      <c r="N25" s="4"/>
      <c r="O25" s="4"/>
      <c r="P25" s="4"/>
      <c r="Q25" s="4"/>
    </row>
    <row r="26" spans="14:17" ht="12.75">
      <c r="N26" s="4"/>
      <c r="O26" s="4"/>
      <c r="P26" s="4"/>
      <c r="Q26" s="4"/>
    </row>
    <row r="27" spans="14:17" ht="12.75">
      <c r="N27" s="4"/>
      <c r="O27" s="4"/>
      <c r="P27" s="4"/>
      <c r="Q27" s="4"/>
    </row>
    <row r="28" spans="1:17" ht="12.75">
      <c r="A28" t="s">
        <v>9</v>
      </c>
      <c r="B28" t="s">
        <v>47</v>
      </c>
      <c r="N28" s="4"/>
      <c r="O28" s="4"/>
      <c r="P28" s="4"/>
      <c r="Q28" s="4"/>
    </row>
    <row r="29" spans="14:17" ht="12.75">
      <c r="N29" s="4"/>
      <c r="O29" s="4"/>
      <c r="P29" s="4"/>
      <c r="Q29" s="4"/>
    </row>
    <row r="30" spans="1:17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N30" s="4">
        <v>0.85</v>
      </c>
      <c r="O30" s="4">
        <f>2.7879*N30^2-6.5827*N30+4.108</f>
        <v>0.5269627499999991</v>
      </c>
      <c r="P30" s="4"/>
      <c r="Q30" s="4"/>
    </row>
    <row r="31" spans="1:17" ht="12.75">
      <c r="A31">
        <v>105</v>
      </c>
      <c r="B31">
        <f>(A31-offset1)/gain1</f>
        <v>1.0061851753243483</v>
      </c>
      <c r="C31">
        <v>72527</v>
      </c>
      <c r="D31">
        <v>1850</v>
      </c>
      <c r="E31">
        <v>48</v>
      </c>
      <c r="F31">
        <v>457</v>
      </c>
      <c r="G31">
        <f>1.019459*(E31+F31)/(D31-14*2)</f>
        <v>0.2825613583973655</v>
      </c>
      <c r="N31" s="4" t="e">
        <f>#REF!+0.01</f>
        <v>#REF!</v>
      </c>
      <c r="O31" s="4" t="e">
        <f>2.7879*N31^2-6.5827*N31+4.108</f>
        <v>#REF!</v>
      </c>
      <c r="P31" s="4"/>
      <c r="Q31" s="4"/>
    </row>
    <row r="32" spans="16:17" ht="12.75">
      <c r="P32" s="4"/>
      <c r="Q32" s="4"/>
    </row>
    <row r="33" spans="16:17" ht="12.75">
      <c r="P33" s="4"/>
      <c r="Q33" s="4"/>
    </row>
    <row r="36" spans="1:4" ht="12.75">
      <c r="A36" t="s">
        <v>10</v>
      </c>
      <c r="B36" t="s">
        <v>47</v>
      </c>
      <c r="C36" s="3"/>
      <c r="D36" s="3"/>
    </row>
    <row r="38" spans="1:7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</row>
    <row r="39" spans="1:7" ht="12.75">
      <c r="A39">
        <v>85</v>
      </c>
      <c r="B39">
        <f>(A39-offset1)/gain1</f>
        <v>0.8392438710234509</v>
      </c>
      <c r="C39">
        <v>645197</v>
      </c>
      <c r="D39">
        <v>830</v>
      </c>
      <c r="E39">
        <v>61</v>
      </c>
      <c r="F39">
        <v>463</v>
      </c>
      <c r="G39">
        <f>1.019459*(E39+F39)/(D39-14)</f>
        <v>0.6546525931372549</v>
      </c>
    </row>
    <row r="40" spans="1:15" ht="12.75">
      <c r="A40" s="1">
        <v>105</v>
      </c>
      <c r="B40">
        <f>(A40-offset1)/gain1</f>
        <v>1.0061851753243483</v>
      </c>
      <c r="C40">
        <v>71468</v>
      </c>
      <c r="D40">
        <v>1821</v>
      </c>
      <c r="E40">
        <v>91</v>
      </c>
      <c r="F40">
        <v>693</v>
      </c>
      <c r="G40">
        <f>1.019459*(E40+F40)/(D40-14*2)</f>
        <v>0.445764559955382</v>
      </c>
      <c r="N40" s="4">
        <v>0.96</v>
      </c>
      <c r="O40">
        <f aca="true" t="shared" si="0" ref="O40:O45">0.672*N40^2-2.4914*N40+2.2722</f>
        <v>0.4997712000000001</v>
      </c>
    </row>
    <row r="41" spans="1:15" ht="12.75">
      <c r="A41">
        <v>120</v>
      </c>
      <c r="B41">
        <f>(A41-offset1)/gain1</f>
        <v>1.1313911535500212</v>
      </c>
      <c r="C41">
        <v>315227</v>
      </c>
      <c r="D41">
        <v>1861</v>
      </c>
      <c r="E41">
        <v>53</v>
      </c>
      <c r="F41">
        <v>511</v>
      </c>
      <c r="G41">
        <f>1.019459*(E41+F41)/(D41-14*2)</f>
        <v>0.3136796923076923</v>
      </c>
      <c r="N41" s="4">
        <f>N40+0.01</f>
        <v>0.97</v>
      </c>
      <c r="O41">
        <f t="shared" si="0"/>
        <v>0.4878268000000001</v>
      </c>
    </row>
    <row r="42" spans="1:15" ht="12.75">
      <c r="A42">
        <v>150</v>
      </c>
      <c r="B42">
        <f>(A42-offset1)/gain1</f>
        <v>1.3818031100013672</v>
      </c>
      <c r="C42">
        <v>19230</v>
      </c>
      <c r="D42">
        <v>1754</v>
      </c>
      <c r="E42">
        <v>38</v>
      </c>
      <c r="F42">
        <v>235</v>
      </c>
      <c r="G42">
        <f>1.019459*(E42+F42)/(D42-14*2)</f>
        <v>0.16124699130938586</v>
      </c>
      <c r="N42" s="4">
        <f>N41+0.01</f>
        <v>0.98</v>
      </c>
      <c r="O42">
        <f t="shared" si="0"/>
        <v>0.47601680000000046</v>
      </c>
    </row>
    <row r="43" spans="14:16" ht="12.75">
      <c r="N43" s="4">
        <f>N42+0.01</f>
        <v>0.99</v>
      </c>
      <c r="O43">
        <f t="shared" si="0"/>
        <v>0.4643412</v>
      </c>
      <c r="P43" s="2"/>
    </row>
    <row r="44" spans="14:15" ht="12.75">
      <c r="N44" s="4">
        <f>N43+0.01</f>
        <v>1</v>
      </c>
      <c r="O44">
        <f t="shared" si="0"/>
        <v>0.4528000000000003</v>
      </c>
    </row>
    <row r="45" spans="14:15" ht="12.75">
      <c r="N45" s="4">
        <f>N44+0.01</f>
        <v>1.01</v>
      </c>
      <c r="O45">
        <f t="shared" si="0"/>
        <v>0.44139320000000026</v>
      </c>
    </row>
    <row r="47" spans="1:4" ht="12.75">
      <c r="A47" t="s">
        <v>45</v>
      </c>
      <c r="C47" s="3"/>
      <c r="D47" s="3"/>
    </row>
    <row r="49" spans="1:7" ht="12.7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</row>
    <row r="50" spans="1:7" ht="12.75">
      <c r="A50">
        <v>105</v>
      </c>
      <c r="B50">
        <f>(A50-offset1)/gain1</f>
        <v>1.0061851753243483</v>
      </c>
      <c r="C50">
        <v>96135</v>
      </c>
      <c r="D50">
        <v>1787</v>
      </c>
      <c r="E50">
        <v>120</v>
      </c>
      <c r="F50">
        <v>1039</v>
      </c>
      <c r="G50">
        <f>1.019459*(E50+F50)/(D50-14)</f>
        <v>0.6664145408911448</v>
      </c>
    </row>
    <row r="51" spans="1:15" ht="12.75">
      <c r="A51">
        <v>120</v>
      </c>
      <c r="B51">
        <f>(A51-offset1)/gain1</f>
        <v>1.1313911535500212</v>
      </c>
      <c r="C51">
        <v>39256</v>
      </c>
      <c r="D51">
        <v>1785</v>
      </c>
      <c r="E51">
        <v>124</v>
      </c>
      <c r="F51">
        <v>829</v>
      </c>
      <c r="G51">
        <f>1.019459*(E51+F51)/(D51-14*2)</f>
        <v>0.5529564183266932</v>
      </c>
      <c r="N51">
        <v>1.18</v>
      </c>
      <c r="O51">
        <f aca="true" t="shared" si="1" ref="O51:O56">3.8635*N51^3-14.332*N51^2+16.473*N51-5.3353</f>
        <v>0.49481733199999667</v>
      </c>
    </row>
    <row r="52" spans="1:15" ht="12.75">
      <c r="A52">
        <v>150</v>
      </c>
      <c r="B52">
        <f>(A52-offset1)/gain1</f>
        <v>1.3818031100013672</v>
      </c>
      <c r="C52">
        <v>23299</v>
      </c>
      <c r="D52">
        <v>1730</v>
      </c>
      <c r="E52">
        <v>47</v>
      </c>
      <c r="F52">
        <v>382</v>
      </c>
      <c r="G52">
        <f>1.019459*(E52+F52)/(D52-14*2)</f>
        <v>0.256961169800235</v>
      </c>
      <c r="N52" s="4">
        <f>N51+0.01</f>
        <v>1.19</v>
      </c>
      <c r="O52">
        <f t="shared" si="1"/>
        <v>0.4826365965000008</v>
      </c>
    </row>
    <row r="53" spans="1:15" ht="12.75">
      <c r="A53">
        <v>180</v>
      </c>
      <c r="B53">
        <f>(A53-offset1)/gain1</f>
        <v>1.632215066452713</v>
      </c>
      <c r="C53">
        <v>368797</v>
      </c>
      <c r="D53">
        <v>1816</v>
      </c>
      <c r="E53">
        <v>32</v>
      </c>
      <c r="F53">
        <v>270</v>
      </c>
      <c r="G53">
        <f>1.019459*(E53+F53)/(D53-14*2)</f>
        <v>0.17219050223713644</v>
      </c>
      <c r="N53" s="4">
        <f>N52+0.01</f>
        <v>1.2</v>
      </c>
      <c r="O53">
        <f t="shared" si="1"/>
        <v>0.47034799999999954</v>
      </c>
    </row>
    <row r="54" spans="14:15" ht="12.75">
      <c r="N54" s="4">
        <f>N53+0.01</f>
        <v>1.21</v>
      </c>
      <c r="O54">
        <f t="shared" si="1"/>
        <v>0.4579747234999978</v>
      </c>
    </row>
    <row r="55" spans="14:15" ht="12.75">
      <c r="N55" s="4">
        <f>N54+0.01</f>
        <v>1.22</v>
      </c>
      <c r="O55">
        <f t="shared" si="1"/>
        <v>0.44553994799999863</v>
      </c>
    </row>
    <row r="56" spans="14:15" ht="12.75">
      <c r="N56" s="4">
        <f>N55+0.01</f>
        <v>1.23</v>
      </c>
      <c r="O56">
        <f t="shared" si="1"/>
        <v>0.4330668544999945</v>
      </c>
    </row>
    <row r="59" spans="1:4" ht="12.75">
      <c r="A59" t="s">
        <v>46</v>
      </c>
      <c r="C59" s="3"/>
      <c r="D59" s="3"/>
    </row>
    <row r="61" spans="1:7" ht="12.7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</row>
    <row r="62" spans="1:15" ht="12.75">
      <c r="A62" s="11">
        <v>105</v>
      </c>
      <c r="B62">
        <f>(A62-offset1)/gain1</f>
        <v>1.0061851753243483</v>
      </c>
      <c r="D62">
        <v>872</v>
      </c>
      <c r="E62">
        <v>68</v>
      </c>
      <c r="F62">
        <v>556</v>
      </c>
      <c r="G62">
        <f>1.019459*(E62+F62)/(D62-14)</f>
        <v>0.7414247272727271</v>
      </c>
      <c r="N62">
        <v>1.35</v>
      </c>
      <c r="O62">
        <f>1.6057*N62^3-6.733*N62^2+8.4092*N62-2.5327</f>
        <v>0.4994516375</v>
      </c>
    </row>
    <row r="63" spans="1:15" ht="12.75">
      <c r="A63">
        <v>120</v>
      </c>
      <c r="B63">
        <f>(A63-offset1)/gain1</f>
        <v>1.1313911535500212</v>
      </c>
      <c r="D63">
        <v>1780</v>
      </c>
      <c r="E63">
        <v>153</v>
      </c>
      <c r="F63">
        <v>1053</v>
      </c>
      <c r="G63">
        <f>1.019459*(E63+F63)/(D63-14*2)</f>
        <v>0.7017508869863013</v>
      </c>
      <c r="N63" s="4">
        <f aca="true" t="shared" si="2" ref="N63:N69">N62+0.01</f>
        <v>1.36</v>
      </c>
      <c r="O63">
        <f aca="true" t="shared" si="3" ref="O63:O69">1.6057*N63^3-6.733*N63^2+8.4092*N63-2.5327</f>
        <v>0.4895228991999989</v>
      </c>
    </row>
    <row r="64" spans="1:15" ht="12.75">
      <c r="A64">
        <v>150</v>
      </c>
      <c r="B64">
        <f>(A64-offset1)/gain1</f>
        <v>1.3818031100013672</v>
      </c>
      <c r="D64">
        <v>1891</v>
      </c>
      <c r="E64">
        <v>95</v>
      </c>
      <c r="F64">
        <v>735</v>
      </c>
      <c r="G64">
        <f>1.019459*(E64+F64)/(D64-14*2)</f>
        <v>0.4541873161567364</v>
      </c>
      <c r="N64" s="4">
        <f t="shared" si="2"/>
        <v>1.37</v>
      </c>
      <c r="O64">
        <f t="shared" si="3"/>
        <v>0.47955781210000126</v>
      </c>
    </row>
    <row r="65" spans="1:15" ht="12.75">
      <c r="A65">
        <v>180</v>
      </c>
      <c r="B65">
        <f>(A65-offset1)/gain1</f>
        <v>1.632215066452713</v>
      </c>
      <c r="C65">
        <v>26379</v>
      </c>
      <c r="D65">
        <v>1829</v>
      </c>
      <c r="E65">
        <v>51</v>
      </c>
      <c r="F65">
        <v>383</v>
      </c>
      <c r="G65">
        <f>1.019459*(E65+F65)/(D65-14*2)</f>
        <v>0.24566641088284283</v>
      </c>
      <c r="N65" s="4">
        <f t="shared" si="2"/>
        <v>1.3800000000000001</v>
      </c>
      <c r="O65">
        <f t="shared" si="3"/>
        <v>0.46956601039999946</v>
      </c>
    </row>
    <row r="66" spans="1:15" ht="12.75">
      <c r="A66">
        <v>210</v>
      </c>
      <c r="B66">
        <f>(A66-offset1)/gain1</f>
        <v>1.8826270229040591</v>
      </c>
      <c r="C66">
        <v>14108</v>
      </c>
      <c r="D66">
        <v>1802</v>
      </c>
      <c r="E66">
        <v>26</v>
      </c>
      <c r="F66">
        <v>230</v>
      </c>
      <c r="G66">
        <f>1.019459*(E66+F66)/(D66-14*2)</f>
        <v>0.14711471476888385</v>
      </c>
      <c r="N66" s="4">
        <f t="shared" si="2"/>
        <v>1.3900000000000001</v>
      </c>
      <c r="O66">
        <f t="shared" si="3"/>
        <v>0.4595571282999984</v>
      </c>
    </row>
    <row r="67" spans="14:15" ht="12.75">
      <c r="N67" s="4">
        <f t="shared" si="2"/>
        <v>1.4000000000000001</v>
      </c>
      <c r="O67">
        <f t="shared" si="3"/>
        <v>0.4495407999999994</v>
      </c>
    </row>
    <row r="68" spans="14:15" ht="12.75">
      <c r="N68" s="4">
        <f t="shared" si="2"/>
        <v>1.4100000000000001</v>
      </c>
      <c r="O68">
        <f t="shared" si="3"/>
        <v>0.43952665970000027</v>
      </c>
    </row>
    <row r="69" spans="14:15" ht="12.75">
      <c r="N69" s="4">
        <f t="shared" si="2"/>
        <v>1.4200000000000002</v>
      </c>
      <c r="O69">
        <f t="shared" si="3"/>
        <v>0.42952434159999875</v>
      </c>
    </row>
    <row r="70" ht="12.75">
      <c r="N70" s="4"/>
    </row>
    <row r="71" ht="12.75">
      <c r="N71" s="4"/>
    </row>
    <row r="74" spans="1:4" ht="12.75">
      <c r="A74" t="s">
        <v>18</v>
      </c>
      <c r="C74" s="3"/>
      <c r="D74" s="3"/>
    </row>
    <row r="76" spans="1: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</row>
    <row r="77" spans="1:7" ht="12.75">
      <c r="A77">
        <v>105</v>
      </c>
      <c r="B77">
        <f aca="true" t="shared" si="4" ref="B77:B82">(A77-offset1)/gain1</f>
        <v>1.0061851753243483</v>
      </c>
      <c r="C77">
        <v>332937</v>
      </c>
      <c r="D77">
        <v>894</v>
      </c>
      <c r="E77">
        <v>88</v>
      </c>
      <c r="F77">
        <v>634</v>
      </c>
      <c r="G77">
        <f>corr*(E77+F77)/(D77-14)</f>
        <v>0.8250228363636364</v>
      </c>
    </row>
    <row r="78" spans="1:15" ht="12.75">
      <c r="A78">
        <v>120</v>
      </c>
      <c r="B78">
        <f t="shared" si="4"/>
        <v>1.1313911535500212</v>
      </c>
      <c r="D78">
        <v>1742</v>
      </c>
      <c r="E78">
        <v>184</v>
      </c>
      <c r="F78">
        <v>1169</v>
      </c>
      <c r="G78">
        <f>corr*(E78+F78)/(D78-14*2)</f>
        <v>0.7937768401400234</v>
      </c>
      <c r="N78">
        <v>1.53</v>
      </c>
      <c r="O78">
        <f>0.7623*N78^3-3.4799*N78^2+4.4605*N78-0.9119</f>
        <v>0.4968032371000001</v>
      </c>
    </row>
    <row r="79" spans="1:15" ht="12.75">
      <c r="A79">
        <v>150</v>
      </c>
      <c r="B79">
        <f t="shared" si="4"/>
        <v>1.3818031100013672</v>
      </c>
      <c r="D79">
        <v>1788</v>
      </c>
      <c r="E79">
        <v>126</v>
      </c>
      <c r="F79">
        <v>942</v>
      </c>
      <c r="G79">
        <f>corr*(E79+F79)/(D79-14*2)</f>
        <v>0.6101969454545454</v>
      </c>
      <c r="N79" s="4">
        <f aca="true" t="shared" si="5" ref="N79:N84">N78+0.01</f>
        <v>1.54</v>
      </c>
      <c r="O79">
        <f aca="true" t="shared" si="6" ref="O79:O84">0.7623*N79^3-3.4799*N79^2+4.4605*N79-0.9119</f>
        <v>0.4884600072000006</v>
      </c>
    </row>
    <row r="80" spans="1:15" ht="12.75">
      <c r="A80">
        <v>180</v>
      </c>
      <c r="B80">
        <f t="shared" si="4"/>
        <v>1.632215066452713</v>
      </c>
      <c r="D80">
        <v>1797</v>
      </c>
      <c r="E80">
        <v>82</v>
      </c>
      <c r="F80">
        <v>649</v>
      </c>
      <c r="G80">
        <f>corr*(E80+F80)/(D80-14*2)</f>
        <v>0.4155286647823629</v>
      </c>
      <c r="N80" s="4">
        <f t="shared" si="5"/>
        <v>1.55</v>
      </c>
      <c r="O80">
        <f t="shared" si="6"/>
        <v>0.4801251624999977</v>
      </c>
    </row>
    <row r="81" spans="1:15" ht="12.75">
      <c r="A81">
        <v>210</v>
      </c>
      <c r="B81">
        <f t="shared" si="4"/>
        <v>1.8826270229040591</v>
      </c>
      <c r="C81">
        <v>19128</v>
      </c>
      <c r="D81">
        <v>1748</v>
      </c>
      <c r="E81">
        <v>43</v>
      </c>
      <c r="F81">
        <v>365</v>
      </c>
      <c r="G81">
        <f>corr*(E81+F81)/(D81-14*2)</f>
        <v>0.23853008372093024</v>
      </c>
      <c r="N81" s="4">
        <f t="shared" si="5"/>
        <v>1.56</v>
      </c>
      <c r="O81">
        <f t="shared" si="6"/>
        <v>0.47180327679999856</v>
      </c>
    </row>
    <row r="82" spans="1:15" ht="12.75">
      <c r="A82">
        <v>240</v>
      </c>
      <c r="B82">
        <f t="shared" si="4"/>
        <v>2.133038979355405</v>
      </c>
      <c r="D82">
        <v>1837</v>
      </c>
      <c r="E82">
        <v>37</v>
      </c>
      <c r="F82">
        <v>263</v>
      </c>
      <c r="G82">
        <f>corr*(E82+F82)/(D82-14*2)</f>
        <v>0.1667608623548922</v>
      </c>
      <c r="N82" s="4">
        <f t="shared" si="5"/>
        <v>1.57</v>
      </c>
      <c r="O82">
        <f t="shared" si="6"/>
        <v>0.4634989238999979</v>
      </c>
    </row>
    <row r="83" spans="14:15" ht="12.75">
      <c r="N83" s="4">
        <f t="shared" si="5"/>
        <v>1.58</v>
      </c>
      <c r="O83">
        <f t="shared" si="6"/>
        <v>0.4552166775999985</v>
      </c>
    </row>
    <row r="84" spans="14:15" ht="12.75">
      <c r="N84" s="4">
        <f t="shared" si="5"/>
        <v>1.59</v>
      </c>
      <c r="O84">
        <f t="shared" si="6"/>
        <v>0.4469611116999995</v>
      </c>
    </row>
    <row r="89" spans="1:4" ht="12.75">
      <c r="A89" t="s">
        <v>12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 s="11">
        <v>105</v>
      </c>
      <c r="B92">
        <f aca="true" t="shared" si="7" ref="B92:B98">(A92-offset1)/gain1</f>
        <v>1.0061851753243483</v>
      </c>
      <c r="D92">
        <v>920</v>
      </c>
      <c r="E92">
        <v>109</v>
      </c>
      <c r="F92">
        <v>685</v>
      </c>
      <c r="G92">
        <f>corr*(E92+F92)/(D92-14)</f>
        <v>0.8812593730684327</v>
      </c>
    </row>
    <row r="93" spans="1:15" ht="12.75">
      <c r="A93" s="11">
        <v>120</v>
      </c>
      <c r="B93" s="11">
        <f t="shared" si="7"/>
        <v>1.1313911535500212</v>
      </c>
      <c r="C93" s="11"/>
      <c r="D93" s="11">
        <v>1788</v>
      </c>
      <c r="E93" s="11">
        <v>163</v>
      </c>
      <c r="F93" s="11">
        <v>1330</v>
      </c>
      <c r="G93">
        <f>corr*(E93+F93)/(D93-14*2)</f>
        <v>0.8530187636363636</v>
      </c>
      <c r="N93">
        <v>1.75</v>
      </c>
      <c r="O93">
        <f>0.5081*N93^3-2.6115*N93^2+3.7226*N93-0.7409</f>
        <v>0.4990296875000001</v>
      </c>
    </row>
    <row r="94" spans="1:15" ht="12.75">
      <c r="A94" s="11">
        <v>150</v>
      </c>
      <c r="B94" s="11">
        <f t="shared" si="7"/>
        <v>1.3818031100013672</v>
      </c>
      <c r="C94" s="11"/>
      <c r="D94" s="11">
        <v>1771</v>
      </c>
      <c r="E94" s="11">
        <v>135</v>
      </c>
      <c r="F94" s="11">
        <v>1211</v>
      </c>
      <c r="G94">
        <f>corr*(E94+F94)/(D94-14*2)</f>
        <v>0.7765315708548479</v>
      </c>
      <c r="N94" s="4">
        <f aca="true" t="shared" si="8" ref="N94:N99">N93+0.01</f>
        <v>1.76</v>
      </c>
      <c r="O94">
        <f aca="true" t="shared" si="9" ref="O94:O99">0.5081*N94^3-2.6115*N94^2+3.7226*N94-0.7409</f>
        <v>0.49154098560000026</v>
      </c>
    </row>
    <row r="95" spans="1:15" ht="12.75">
      <c r="A95" s="11">
        <v>180</v>
      </c>
      <c r="B95">
        <f t="shared" si="7"/>
        <v>1.632215066452713</v>
      </c>
      <c r="D95" s="11">
        <v>1777</v>
      </c>
      <c r="E95" s="11">
        <v>91</v>
      </c>
      <c r="F95" s="11">
        <v>915</v>
      </c>
      <c r="G95">
        <f>corr*(E95+F95)/(D95-14*2)</f>
        <v>0.5783884551172098</v>
      </c>
      <c r="N95" s="4">
        <f t="shared" si="8"/>
        <v>1.77</v>
      </c>
      <c r="O95">
        <f t="shared" si="9"/>
        <v>0.4840665372999994</v>
      </c>
    </row>
    <row r="96" spans="1:15" ht="12.75">
      <c r="A96">
        <v>210</v>
      </c>
      <c r="B96">
        <f t="shared" si="7"/>
        <v>1.8826270229040591</v>
      </c>
      <c r="D96" s="11">
        <v>1805</v>
      </c>
      <c r="E96" s="11">
        <v>75</v>
      </c>
      <c r="F96" s="11">
        <v>615</v>
      </c>
      <c r="G96">
        <f>corr*(E96+F96)/(D96-14)</f>
        <v>0.38740475711892797</v>
      </c>
      <c r="N96" s="4">
        <f t="shared" si="8"/>
        <v>1.78</v>
      </c>
      <c r="O96">
        <f t="shared" si="9"/>
        <v>0.4766093912000001</v>
      </c>
    </row>
    <row r="97" spans="1:15" ht="12.75">
      <c r="A97">
        <v>240</v>
      </c>
      <c r="B97">
        <f t="shared" si="7"/>
        <v>2.133038979355405</v>
      </c>
      <c r="D97" s="11">
        <v>1798</v>
      </c>
      <c r="E97" s="11">
        <v>46</v>
      </c>
      <c r="F97" s="11">
        <v>428</v>
      </c>
      <c r="G97">
        <f>corr*(E97+F97)/(D97-14)</f>
        <v>0.2671744573991031</v>
      </c>
      <c r="N97" s="4">
        <f t="shared" si="8"/>
        <v>1.79</v>
      </c>
      <c r="O97">
        <f t="shared" si="9"/>
        <v>0.4691725958999998</v>
      </c>
    </row>
    <row r="98" spans="1:15" ht="12.75">
      <c r="A98">
        <v>270</v>
      </c>
      <c r="B98">
        <f t="shared" si="7"/>
        <v>2.3834509358067515</v>
      </c>
      <c r="D98" s="11">
        <v>1743</v>
      </c>
      <c r="E98" s="11">
        <v>25</v>
      </c>
      <c r="F98" s="11">
        <v>262</v>
      </c>
      <c r="G98">
        <f>1.019459*(E98+F98)/(D98-14*2)</f>
        <v>0.17060334285714285</v>
      </c>
      <c r="N98" s="4">
        <f t="shared" si="8"/>
        <v>1.8</v>
      </c>
      <c r="O98">
        <f t="shared" si="9"/>
        <v>0.46175919999999937</v>
      </c>
    </row>
    <row r="99" spans="14:15" ht="12.75">
      <c r="N99" s="4">
        <f t="shared" si="8"/>
        <v>1.81</v>
      </c>
      <c r="O99">
        <f t="shared" si="9"/>
        <v>0.45437225210000054</v>
      </c>
    </row>
    <row r="104" spans="1:4" ht="12.75">
      <c r="A104" t="s">
        <v>48</v>
      </c>
      <c r="C104" s="3"/>
      <c r="D104" s="3"/>
    </row>
    <row r="106" spans="1:7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</row>
    <row r="107" spans="1:15" ht="12.75">
      <c r="A107">
        <v>105</v>
      </c>
      <c r="B107">
        <f aca="true" t="shared" si="10" ref="B107:B114">(A107-offset1)/gain1</f>
        <v>1.0061851753243483</v>
      </c>
      <c r="D107">
        <v>899</v>
      </c>
      <c r="E107">
        <v>77</v>
      </c>
      <c r="F107">
        <v>705</v>
      </c>
      <c r="G107">
        <f>corr*(E107+F107)/(D107-14)</f>
        <v>0.8885357920903956</v>
      </c>
      <c r="N107">
        <v>2</v>
      </c>
      <c r="O107">
        <f>0.2238*N107^3-1.3409*N107^2+2.0854*N107-0.095</f>
        <v>0.5025999999999999</v>
      </c>
    </row>
    <row r="108" spans="1:15" ht="12.75">
      <c r="A108" s="11">
        <v>120</v>
      </c>
      <c r="B108">
        <f t="shared" si="10"/>
        <v>1.1313911535500212</v>
      </c>
      <c r="D108">
        <v>1813</v>
      </c>
      <c r="E108">
        <v>165</v>
      </c>
      <c r="F108">
        <v>1362</v>
      </c>
      <c r="G108">
        <f>corr*(E108+F108)/(D108-14)</f>
        <v>0.8535310372429127</v>
      </c>
      <c r="N108" s="4">
        <f aca="true" t="shared" si="11" ref="N108:N114">N107+0.01</f>
        <v>2.01</v>
      </c>
      <c r="O108">
        <f aca="true" t="shared" si="12" ref="O108:O114">0.2238*N108^3-1.3409*N108^2+2.0854*N108-0.095</f>
        <v>0.49667441380000077</v>
      </c>
    </row>
    <row r="109" spans="1:15" ht="12.75">
      <c r="A109" s="11">
        <v>150</v>
      </c>
      <c r="B109">
        <f t="shared" si="10"/>
        <v>1.3818031100013672</v>
      </c>
      <c r="D109">
        <v>1794</v>
      </c>
      <c r="E109">
        <v>166</v>
      </c>
      <c r="F109">
        <v>1268</v>
      </c>
      <c r="G109">
        <f>corr*(E109+F109)/(D109-14)</f>
        <v>0.8101036584269663</v>
      </c>
      <c r="N109" s="4">
        <f t="shared" si="11"/>
        <v>2.0199999999999996</v>
      </c>
      <c r="O109">
        <f t="shared" si="12"/>
        <v>0.49075055040000026</v>
      </c>
    </row>
    <row r="110" spans="1:15" ht="12.75">
      <c r="A110">
        <v>180</v>
      </c>
      <c r="B110">
        <f t="shared" si="10"/>
        <v>1.632215066452713</v>
      </c>
      <c r="D110">
        <v>1803</v>
      </c>
      <c r="E110">
        <v>132</v>
      </c>
      <c r="F110">
        <v>1127</v>
      </c>
      <c r="G110">
        <f>corr*(E110+F110)/(D110-14*2)</f>
        <v>0.7132451335211267</v>
      </c>
      <c r="N110" s="4">
        <f t="shared" si="11"/>
        <v>2.0299999999999994</v>
      </c>
      <c r="O110">
        <f t="shared" si="12"/>
        <v>0.48482975260000116</v>
      </c>
    </row>
    <row r="111" spans="1:15" ht="12.75">
      <c r="A111" s="11">
        <v>210</v>
      </c>
      <c r="B111" s="11">
        <f t="shared" si="10"/>
        <v>1.8826270229040591</v>
      </c>
      <c r="C111" s="11"/>
      <c r="D111" s="11">
        <v>1750</v>
      </c>
      <c r="E111" s="11">
        <v>108</v>
      </c>
      <c r="F111" s="11">
        <v>913</v>
      </c>
      <c r="G111">
        <f>corr*(E111+F111)/(D111-14*2)</f>
        <v>0.5962165667828108</v>
      </c>
      <c r="N111" s="4">
        <f t="shared" si="11"/>
        <v>2.039999999999999</v>
      </c>
      <c r="O111">
        <f t="shared" si="12"/>
        <v>0.4789133632</v>
      </c>
    </row>
    <row r="112" spans="1:15" ht="12.75">
      <c r="A112">
        <v>240</v>
      </c>
      <c r="B112">
        <f t="shared" si="10"/>
        <v>2.133038979355405</v>
      </c>
      <c r="D112" s="11">
        <v>1865</v>
      </c>
      <c r="E112" s="11">
        <v>86</v>
      </c>
      <c r="F112" s="11">
        <v>660</v>
      </c>
      <c r="G112">
        <f>corr*(E112+F112)/(D112-14*2)</f>
        <v>0.40835804463799674</v>
      </c>
      <c r="N112" s="4">
        <f t="shared" si="11"/>
        <v>2.049999999999999</v>
      </c>
      <c r="O112">
        <f t="shared" si="12"/>
        <v>0.4730027250000013</v>
      </c>
    </row>
    <row r="113" spans="1:15" ht="12.75">
      <c r="A113">
        <v>270</v>
      </c>
      <c r="B113">
        <f t="shared" si="10"/>
        <v>2.3834509358067515</v>
      </c>
      <c r="D113">
        <v>1796</v>
      </c>
      <c r="E113">
        <v>53</v>
      </c>
      <c r="F113">
        <v>440</v>
      </c>
      <c r="G113">
        <f>corr*(E113+F113)/(D113-14*2)</f>
        <v>0.28039876923076923</v>
      </c>
      <c r="N113" s="4">
        <f t="shared" si="11"/>
        <v>2.0599999999999987</v>
      </c>
      <c r="O113">
        <f t="shared" si="12"/>
        <v>0.46709918080000024</v>
      </c>
    </row>
    <row r="114" spans="1:15" ht="12.75">
      <c r="A114">
        <v>300</v>
      </c>
      <c r="B114">
        <f t="shared" si="10"/>
        <v>2.6338628922580973</v>
      </c>
      <c r="D114">
        <v>1824</v>
      </c>
      <c r="E114">
        <v>35</v>
      </c>
      <c r="F114">
        <v>306</v>
      </c>
      <c r="G114">
        <f>corr*(E114+F114)/(D114-14*2)</f>
        <v>0.19092354565701558</v>
      </c>
      <c r="N114" s="4">
        <f t="shared" si="11"/>
        <v>2.0699999999999985</v>
      </c>
      <c r="O114">
        <f t="shared" si="12"/>
        <v>0.46120407340000047</v>
      </c>
    </row>
    <row r="118" spans="1:4" ht="12.75">
      <c r="A118" t="s">
        <v>49</v>
      </c>
      <c r="C118" s="3"/>
      <c r="D118" s="3"/>
    </row>
    <row r="120" spans="1:15" ht="12.7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N120">
        <v>2.22</v>
      </c>
      <c r="O120">
        <f aca="true" t="shared" si="13" ref="O120:O125">-0.015*N120^2-0.4529*N120+1.5773</f>
        <v>0.49793599999999993</v>
      </c>
    </row>
    <row r="121" spans="1:15" ht="12.75">
      <c r="A121">
        <v>105</v>
      </c>
      <c r="B121">
        <f aca="true" t="shared" si="14" ref="B121:B126">(A121-offset1)/gain1</f>
        <v>1.0061851753243483</v>
      </c>
      <c r="G121">
        <f>corr*(E121+F121)/(D121-14)</f>
        <v>0</v>
      </c>
      <c r="N121" s="4">
        <f>N120+0.01</f>
        <v>2.23</v>
      </c>
      <c r="O121">
        <f t="shared" si="13"/>
        <v>0.4927394999999999</v>
      </c>
    </row>
    <row r="122" spans="1:15" ht="12.75">
      <c r="A122" s="11">
        <v>180</v>
      </c>
      <c r="B122">
        <f t="shared" si="14"/>
        <v>1.632215066452713</v>
      </c>
      <c r="D122">
        <v>1860</v>
      </c>
      <c r="E122">
        <v>160</v>
      </c>
      <c r="F122">
        <v>1282</v>
      </c>
      <c r="G122">
        <f>corr*(E122+F122)/(D122-14*2)</f>
        <v>0.791500576419214</v>
      </c>
      <c r="N122" s="4">
        <f>N121+0.01</f>
        <v>2.2399999999999998</v>
      </c>
      <c r="O122">
        <f t="shared" si="13"/>
        <v>0.4875400000000001</v>
      </c>
    </row>
    <row r="123" spans="1:15" ht="12.75">
      <c r="A123" s="11">
        <v>210</v>
      </c>
      <c r="B123">
        <f t="shared" si="14"/>
        <v>1.8826270229040591</v>
      </c>
      <c r="D123">
        <v>1825</v>
      </c>
      <c r="E123">
        <v>131</v>
      </c>
      <c r="F123">
        <v>1089</v>
      </c>
      <c r="G123">
        <f>corr*(E123+F123)/(D123-14*2)</f>
        <v>0.6826894602114636</v>
      </c>
      <c r="N123" s="4">
        <f>N122+0.01</f>
        <v>2.2499999999999996</v>
      </c>
      <c r="O123">
        <f t="shared" si="13"/>
        <v>0.4823375000000001</v>
      </c>
    </row>
    <row r="124" spans="1:15" ht="12.75">
      <c r="A124" s="11">
        <v>240</v>
      </c>
      <c r="B124">
        <f t="shared" si="14"/>
        <v>2.133038979355405</v>
      </c>
      <c r="D124">
        <v>1831</v>
      </c>
      <c r="E124">
        <v>115</v>
      </c>
      <c r="F124">
        <v>868</v>
      </c>
      <c r="G124">
        <f>corr*(E124+F124)/(D124-14*2)</f>
        <v>0.5482381275651692</v>
      </c>
      <c r="N124" s="4">
        <f>N123+0.01</f>
        <v>2.2599999999999993</v>
      </c>
      <c r="O124">
        <f t="shared" si="13"/>
        <v>0.4771320000000001</v>
      </c>
    </row>
    <row r="125" spans="1:15" ht="12.75">
      <c r="A125" s="11">
        <v>270</v>
      </c>
      <c r="B125">
        <f t="shared" si="14"/>
        <v>2.3834509358067515</v>
      </c>
      <c r="D125">
        <v>1853</v>
      </c>
      <c r="E125">
        <v>70</v>
      </c>
      <c r="F125">
        <v>645</v>
      </c>
      <c r="G125">
        <f>corr*(E125+F125)/(D125-14*2)</f>
        <v>0.3939622575342466</v>
      </c>
      <c r="N125" s="4">
        <f>N124+0.01</f>
        <v>2.269999999999999</v>
      </c>
      <c r="O125">
        <f t="shared" si="13"/>
        <v>0.4719235000000004</v>
      </c>
    </row>
    <row r="126" spans="1:7" ht="12.75">
      <c r="A126" s="11">
        <v>300</v>
      </c>
      <c r="B126">
        <f t="shared" si="14"/>
        <v>2.6338628922580973</v>
      </c>
      <c r="D126">
        <v>1771</v>
      </c>
      <c r="E126">
        <v>50</v>
      </c>
      <c r="F126">
        <v>450</v>
      </c>
      <c r="G126">
        <f>corr*(E126+F126)/(D126-14*2)</f>
        <v>0.28845897877223176</v>
      </c>
    </row>
    <row r="130" spans="1:4" ht="12.75">
      <c r="A130" t="s">
        <v>19</v>
      </c>
      <c r="C130" s="3"/>
      <c r="D130" s="3"/>
    </row>
    <row r="132" spans="1: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</row>
    <row r="133" spans="1:15" ht="12.75">
      <c r="A133">
        <v>105</v>
      </c>
      <c r="B133">
        <f aca="true" t="shared" si="15" ref="B133:B138">(A133-offset1)/gain1</f>
        <v>1.0061851753243483</v>
      </c>
      <c r="G133">
        <f>corr*(E133+F133)/(D133-14)</f>
        <v>0</v>
      </c>
      <c r="N133">
        <v>2.64</v>
      </c>
      <c r="O133">
        <f aca="true" t="shared" si="16" ref="O133:O138">-0.5652*N133+1.9903</f>
        <v>0.49817199999999984</v>
      </c>
    </row>
    <row r="134" spans="1:15" ht="12.75">
      <c r="A134" s="11">
        <v>120</v>
      </c>
      <c r="B134">
        <f t="shared" si="15"/>
        <v>1.1313911535500212</v>
      </c>
      <c r="N134">
        <f>N133+0.01</f>
        <v>2.65</v>
      </c>
      <c r="O134">
        <f t="shared" si="16"/>
        <v>0.49251999999999985</v>
      </c>
    </row>
    <row r="135" spans="1:15" ht="12.75">
      <c r="A135">
        <v>240</v>
      </c>
      <c r="B135">
        <f t="shared" si="15"/>
        <v>2.133038979355405</v>
      </c>
      <c r="G135">
        <f>corr*(E135+F135)/(D135-14)</f>
        <v>0</v>
      </c>
      <c r="N135">
        <f>N134+0.01</f>
        <v>2.6599999999999997</v>
      </c>
      <c r="O135">
        <f t="shared" si="16"/>
        <v>0.4868680000000001</v>
      </c>
    </row>
    <row r="136" spans="1:15" ht="12.75">
      <c r="A136">
        <v>270</v>
      </c>
      <c r="B136">
        <f t="shared" si="15"/>
        <v>2.3834509358067515</v>
      </c>
      <c r="G136">
        <f>corr*(E136+F136)/(D136-14)</f>
        <v>0</v>
      </c>
      <c r="N136">
        <f>N135+0.01</f>
        <v>2.6699999999999995</v>
      </c>
      <c r="O136">
        <f t="shared" si="16"/>
        <v>0.4812160000000001</v>
      </c>
    </row>
    <row r="137" spans="1:15" ht="12.75">
      <c r="A137">
        <v>300</v>
      </c>
      <c r="B137">
        <f t="shared" si="15"/>
        <v>2.6338628922580973</v>
      </c>
      <c r="G137">
        <f>corr*(E137+F137)/(D137-14*2)</f>
        <v>0</v>
      </c>
      <c r="N137">
        <f>N136+0.01</f>
        <v>2.6799999999999993</v>
      </c>
      <c r="O137">
        <f t="shared" si="16"/>
        <v>0.4755640000000003</v>
      </c>
    </row>
    <row r="138" spans="1:15" ht="12.75">
      <c r="A138">
        <v>330</v>
      </c>
      <c r="B138">
        <f t="shared" si="15"/>
        <v>2.884274848709443</v>
      </c>
      <c r="G138">
        <f>corr*(E138+F138)/(D138-14*2)</f>
        <v>0</v>
      </c>
      <c r="N138">
        <f>N137+0.01</f>
        <v>2.689999999999999</v>
      </c>
      <c r="O138">
        <f t="shared" si="16"/>
        <v>0.46991200000000033</v>
      </c>
    </row>
    <row r="142" spans="1:4" ht="12.75">
      <c r="A142" t="s">
        <v>52</v>
      </c>
      <c r="C142" s="3"/>
      <c r="D142" s="3"/>
    </row>
    <row r="144" spans="1:7" ht="12.75">
      <c r="A144" t="s">
        <v>0</v>
      </c>
      <c r="B144" t="s">
        <v>1</v>
      </c>
      <c r="C144" t="s">
        <v>2</v>
      </c>
      <c r="D144" t="s">
        <v>3</v>
      </c>
      <c r="E144" t="s">
        <v>4</v>
      </c>
      <c r="F144" t="s">
        <v>5</v>
      </c>
      <c r="G144" t="s">
        <v>6</v>
      </c>
    </row>
    <row r="145" spans="1:7" ht="12.75">
      <c r="A145">
        <v>105</v>
      </c>
      <c r="B145">
        <f aca="true" t="shared" si="17" ref="B145:B150">(A145-offset1)/gain1</f>
        <v>1.0061851753243483</v>
      </c>
      <c r="C145">
        <v>38181</v>
      </c>
      <c r="D145">
        <v>947</v>
      </c>
      <c r="E145">
        <v>112</v>
      </c>
      <c r="F145">
        <v>780</v>
      </c>
      <c r="G145">
        <f>1.019459*(E145+F145)/(D145-14)</f>
        <v>0.9746596227224008</v>
      </c>
    </row>
    <row r="146" spans="1:15" ht="12.75">
      <c r="A146">
        <v>240</v>
      </c>
      <c r="B146">
        <f t="shared" si="17"/>
        <v>2.133038979355405</v>
      </c>
      <c r="C146">
        <v>28971</v>
      </c>
      <c r="D146">
        <v>1620</v>
      </c>
      <c r="E146">
        <v>153</v>
      </c>
      <c r="F146">
        <v>1023</v>
      </c>
      <c r="G146">
        <f>1.019459*(E146+F146)/(D146-14*2)</f>
        <v>0.7530677035175879</v>
      </c>
      <c r="N146">
        <v>2.68</v>
      </c>
      <c r="O146">
        <f>0.48*N146^3-3.6291*N146^2+8.6298*N146-5.801</f>
        <v>0.5006555199999934</v>
      </c>
    </row>
    <row r="147" spans="1:15" ht="12.75">
      <c r="A147">
        <v>270</v>
      </c>
      <c r="B147">
        <f t="shared" si="17"/>
        <v>2.3834509358067515</v>
      </c>
      <c r="C147">
        <v>24747</v>
      </c>
      <c r="D147">
        <v>1536</v>
      </c>
      <c r="E147">
        <v>104</v>
      </c>
      <c r="F147">
        <v>858</v>
      </c>
      <c r="G147">
        <f>1.019459*(E147+F147)/(D147-14*2)</f>
        <v>0.6503445344827585</v>
      </c>
      <c r="N147">
        <f aca="true" t="shared" si="18" ref="N147:N152">N146+0.01</f>
        <v>2.69</v>
      </c>
      <c r="O147">
        <f aca="true" t="shared" si="19" ref="O147:O152">0.48*N147^3-3.6291*N147^2+8.6298*N147-5.801</f>
        <v>0.4958838100000005</v>
      </c>
    </row>
    <row r="148" spans="1:15" ht="12.75">
      <c r="A148">
        <v>300</v>
      </c>
      <c r="B148">
        <f t="shared" si="17"/>
        <v>2.6338628922580973</v>
      </c>
      <c r="C148">
        <v>20424</v>
      </c>
      <c r="D148">
        <v>1459</v>
      </c>
      <c r="E148">
        <v>98</v>
      </c>
      <c r="F148">
        <v>636</v>
      </c>
      <c r="G148">
        <f>1.019459*(E148+F148)/(D148-14*2)</f>
        <v>0.5229090887491264</v>
      </c>
      <c r="N148">
        <f t="shared" si="18"/>
        <v>2.6999999999999997</v>
      </c>
      <c r="O148">
        <f t="shared" si="19"/>
        <v>0.4911609999999964</v>
      </c>
    </row>
    <row r="149" spans="1:15" ht="12.75">
      <c r="A149">
        <v>330</v>
      </c>
      <c r="B149">
        <f t="shared" si="17"/>
        <v>2.884274848709443</v>
      </c>
      <c r="C149">
        <v>87919</v>
      </c>
      <c r="D149">
        <v>1893</v>
      </c>
      <c r="E149">
        <v>78</v>
      </c>
      <c r="F149">
        <v>683</v>
      </c>
      <c r="G149">
        <f>1.019459*(E149+F149)/(D149-14*2)</f>
        <v>0.4159830021447721</v>
      </c>
      <c r="N149">
        <f t="shared" si="18"/>
        <v>2.7099999999999995</v>
      </c>
      <c r="O149">
        <f t="shared" si="19"/>
        <v>0.4864899699999956</v>
      </c>
    </row>
    <row r="150" spans="1:15" ht="12.75">
      <c r="A150">
        <v>360</v>
      </c>
      <c r="B150">
        <f t="shared" si="17"/>
        <v>3.134686805160789</v>
      </c>
      <c r="G150">
        <f>1.019459*(E150+F150)/(D150-14*2)</f>
        <v>0</v>
      </c>
      <c r="N150">
        <f t="shared" si="18"/>
        <v>2.7199999999999993</v>
      </c>
      <c r="O150">
        <f t="shared" si="19"/>
        <v>0.4818735999999948</v>
      </c>
    </row>
    <row r="151" spans="14:15" ht="12.75">
      <c r="N151">
        <f t="shared" si="18"/>
        <v>2.729999999999999</v>
      </c>
      <c r="O151">
        <f t="shared" si="19"/>
        <v>0.4773147699999978</v>
      </c>
    </row>
    <row r="152" spans="14:15" ht="12.75">
      <c r="N152">
        <f t="shared" si="18"/>
        <v>2.739999999999999</v>
      </c>
      <c r="O152">
        <f t="shared" si="19"/>
        <v>0.47281635999999416</v>
      </c>
    </row>
    <row r="153" spans="1:4" ht="12.75">
      <c r="A153" t="s">
        <v>53</v>
      </c>
      <c r="C153" s="3"/>
      <c r="D153" s="3"/>
    </row>
    <row r="155" spans="1:7" ht="12.75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</row>
    <row r="156" spans="1:7" ht="12.75">
      <c r="A156" s="10">
        <v>105</v>
      </c>
      <c r="B156">
        <f>(A156-offset1)/gain1</f>
        <v>1.0061851753243483</v>
      </c>
      <c r="C156">
        <v>103213</v>
      </c>
      <c r="D156">
        <v>818</v>
      </c>
      <c r="E156">
        <v>97</v>
      </c>
      <c r="F156">
        <v>612</v>
      </c>
      <c r="G156">
        <f>1.019459*(E156+F156)/(D156-14)</f>
        <v>0.8990005360696516</v>
      </c>
    </row>
    <row r="157" spans="1:15" ht="12.75">
      <c r="A157">
        <v>270</v>
      </c>
      <c r="B157">
        <f>(A157-offset1)/gain1</f>
        <v>2.3834509358067515</v>
      </c>
      <c r="G157">
        <f>1.019459*(E157+F157)/(D157-14)</f>
        <v>0</v>
      </c>
      <c r="N157">
        <v>2.97</v>
      </c>
      <c r="O157">
        <f>0.0445*N157^2-0.733*N157+2.2829</f>
        <v>0.49842005</v>
      </c>
    </row>
    <row r="158" spans="1:15" ht="12.75">
      <c r="A158">
        <v>300</v>
      </c>
      <c r="B158">
        <f>(A158-offset1)/gain1</f>
        <v>2.6338628922580973</v>
      </c>
      <c r="G158">
        <f>1.019459*(E158+F158)/(D158-14*2)</f>
        <v>0</v>
      </c>
      <c r="N158">
        <f>N157+0.01</f>
        <v>2.98</v>
      </c>
      <c r="O158">
        <f>0.0445*N158^2-0.733*N158+2.2829</f>
        <v>0.49373780000000034</v>
      </c>
    </row>
    <row r="159" spans="1:15" ht="12.75">
      <c r="A159">
        <v>330</v>
      </c>
      <c r="B159">
        <f>(A159-offset1)/gain1</f>
        <v>2.884274848709443</v>
      </c>
      <c r="G159">
        <f>1.019459*(E159+F159)/(D159-14*2)</f>
        <v>0</v>
      </c>
      <c r="N159">
        <f>N158+0.01</f>
        <v>2.9899999999999998</v>
      </c>
      <c r="O159">
        <f>0.0445*N159^2-0.733*N159+2.2829</f>
        <v>0.4890644500000003</v>
      </c>
    </row>
    <row r="160" spans="1:15" ht="12.75">
      <c r="A160">
        <v>360</v>
      </c>
      <c r="B160">
        <f>(A160-offset1)/gain1</f>
        <v>3.134686805160789</v>
      </c>
      <c r="G160">
        <f>1.019459*(E160+F160)/(D160-14*2)</f>
        <v>0</v>
      </c>
      <c r="N160">
        <f>N159+0.01</f>
        <v>2.9999999999999996</v>
      </c>
      <c r="O160">
        <f>0.0445*N160^2-0.733*N160+2.2829</f>
        <v>0.48440000000000016</v>
      </c>
    </row>
    <row r="161" spans="14:15" ht="12.75">
      <c r="N161">
        <f>N160+0.01</f>
        <v>3.0099999999999993</v>
      </c>
      <c r="O161">
        <f>0.0445*N161^2-0.733*N161+2.2829</f>
        <v>0.47974445000000054</v>
      </c>
    </row>
    <row r="165" spans="1:4" ht="12.75">
      <c r="A165" t="s">
        <v>57</v>
      </c>
      <c r="C165" s="3"/>
      <c r="D165" s="3"/>
    </row>
    <row r="167" spans="1:7" ht="12.75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</row>
    <row r="168" spans="1:15" ht="12.75">
      <c r="A168">
        <v>105</v>
      </c>
      <c r="B168">
        <f>(A168-offset1)/gain1</f>
        <v>1.0061851753243483</v>
      </c>
      <c r="C168">
        <v>445527</v>
      </c>
      <c r="D168">
        <v>799</v>
      </c>
      <c r="E168">
        <v>102</v>
      </c>
      <c r="F168">
        <v>635</v>
      </c>
      <c r="G168">
        <f>1.019459*(E168+F168)/(D168-14)</f>
        <v>0.9571226535031847</v>
      </c>
      <c r="N168">
        <v>3.15</v>
      </c>
      <c r="O168">
        <f aca="true" t="shared" si="20" ref="O168:O174">-0.0831*N168^2+0.0334*N168+1.2189</f>
        <v>0.4995502500000002</v>
      </c>
    </row>
    <row r="169" spans="1:15" ht="12.75">
      <c r="A169">
        <v>300</v>
      </c>
      <c r="B169">
        <f>(A169-offset1)/gain1</f>
        <v>2.6338628922580973</v>
      </c>
      <c r="G169">
        <f>1.019459*(E169+F169)/(D169-14)</f>
        <v>0</v>
      </c>
      <c r="N169">
        <f aca="true" t="shared" si="21" ref="N169:N174">N168+0.01</f>
        <v>3.1599999999999997</v>
      </c>
      <c r="O169">
        <f t="shared" si="20"/>
        <v>0.4946406400000003</v>
      </c>
    </row>
    <row r="170" spans="1:15" ht="12.75">
      <c r="A170">
        <v>330</v>
      </c>
      <c r="B170">
        <f>(A170-offset1)/gain1</f>
        <v>2.884274848709443</v>
      </c>
      <c r="G170">
        <f>1.019459*(E170+F170)/(D170-14*2)</f>
        <v>0</v>
      </c>
      <c r="N170">
        <f t="shared" si="21"/>
        <v>3.1699999999999995</v>
      </c>
      <c r="O170">
        <f t="shared" si="20"/>
        <v>0.4897144100000005</v>
      </c>
    </row>
    <row r="171" spans="1:15" ht="12.75">
      <c r="A171">
        <v>360</v>
      </c>
      <c r="B171">
        <f>(A171-offset1)/gain1</f>
        <v>3.134686805160789</v>
      </c>
      <c r="G171">
        <f>1.019459*(E171+F171)/(D171-14*2)</f>
        <v>0</v>
      </c>
      <c r="N171">
        <f t="shared" si="21"/>
        <v>3.1799999999999993</v>
      </c>
      <c r="O171">
        <f t="shared" si="20"/>
        <v>0.48477156000000055</v>
      </c>
    </row>
    <row r="172" spans="1:15" ht="12.75">
      <c r="A172">
        <v>390</v>
      </c>
      <c r="B172">
        <f>(A172-offset1)/gain1</f>
        <v>3.3850987616121353</v>
      </c>
      <c r="G172">
        <f>1.019459*(E172+F172)/(D172-14*2)</f>
        <v>0</v>
      </c>
      <c r="N172">
        <f t="shared" si="21"/>
        <v>3.189999999999999</v>
      </c>
      <c r="O172">
        <f t="shared" si="20"/>
        <v>0.4798120900000006</v>
      </c>
    </row>
    <row r="173" spans="14:15" ht="12.75">
      <c r="N173">
        <f t="shared" si="21"/>
        <v>3.199999999999999</v>
      </c>
      <c r="O173">
        <f t="shared" si="20"/>
        <v>0.4748360000000007</v>
      </c>
    </row>
    <row r="174" spans="14:15" ht="12.75">
      <c r="N174">
        <f t="shared" si="21"/>
        <v>3.2099999999999986</v>
      </c>
      <c r="O174">
        <f t="shared" si="20"/>
        <v>0.4698432900000008</v>
      </c>
    </row>
    <row r="175" spans="1:4" ht="12.75">
      <c r="A175" t="s">
        <v>58</v>
      </c>
      <c r="C175" s="3"/>
      <c r="D175" s="3"/>
    </row>
    <row r="177" spans="1:15" ht="12.75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5</v>
      </c>
      <c r="G177" t="s">
        <v>6</v>
      </c>
      <c r="N177">
        <v>3.26</v>
      </c>
      <c r="O177">
        <f aca="true" t="shared" si="22" ref="O177:O184">-0.0646*N177^2-0.1165*N177+1.5652</f>
        <v>0.49886703999999993</v>
      </c>
    </row>
    <row r="178" spans="1:15" ht="12.75">
      <c r="A178" s="10">
        <v>105</v>
      </c>
      <c r="B178">
        <f>(A178-offset1)/gain1</f>
        <v>1.0061851753243483</v>
      </c>
      <c r="G178">
        <f>1.019459*(E178+F178)/(D178-14)</f>
        <v>0</v>
      </c>
      <c r="N178">
        <f aca="true" t="shared" si="23" ref="N178:N184">N177+0.01</f>
        <v>3.2699999999999996</v>
      </c>
      <c r="O178">
        <f t="shared" si="22"/>
        <v>0.4934836600000001</v>
      </c>
    </row>
    <row r="179" spans="1:15" ht="12.75">
      <c r="A179">
        <v>330</v>
      </c>
      <c r="B179">
        <f>(A179-offset1)/gain1</f>
        <v>2.884274848709443</v>
      </c>
      <c r="G179">
        <f>1.019459*(E179+F179)/(D179-14*2)</f>
        <v>0</v>
      </c>
      <c r="N179">
        <f t="shared" si="23"/>
        <v>3.2799999999999994</v>
      </c>
      <c r="O179">
        <f t="shared" si="22"/>
        <v>0.4880873600000002</v>
      </c>
    </row>
    <row r="180" spans="1:15" ht="12.75">
      <c r="A180">
        <v>360</v>
      </c>
      <c r="B180">
        <f>(A180-offset1)/gain1</f>
        <v>3.134686805160789</v>
      </c>
      <c r="G180">
        <f>1.019459*(E180+F180)/(D180-14*2)</f>
        <v>0</v>
      </c>
      <c r="N180">
        <f t="shared" si="23"/>
        <v>3.289999999999999</v>
      </c>
      <c r="O180">
        <f t="shared" si="22"/>
        <v>0.4826781400000004</v>
      </c>
    </row>
    <row r="181" spans="1:15" ht="12.75">
      <c r="A181">
        <v>390</v>
      </c>
      <c r="B181">
        <f>(A181-offset1)/gain1</f>
        <v>3.3850987616121353</v>
      </c>
      <c r="G181">
        <f>1.019459*(E181+F181)/(D181-14*2)</f>
        <v>0</v>
      </c>
      <c r="N181">
        <f t="shared" si="23"/>
        <v>3.299999999999999</v>
      </c>
      <c r="O181">
        <f t="shared" si="22"/>
        <v>0.47725600000000035</v>
      </c>
    </row>
    <row r="182" spans="14:15" ht="12.75">
      <c r="N182">
        <f t="shared" si="23"/>
        <v>3.3099999999999987</v>
      </c>
      <c r="O182">
        <f t="shared" si="22"/>
        <v>0.4718209400000004</v>
      </c>
    </row>
    <row r="183" spans="14:15" ht="12.75">
      <c r="N183">
        <f t="shared" si="23"/>
        <v>3.3199999999999985</v>
      </c>
      <c r="O183">
        <f t="shared" si="22"/>
        <v>0.4663729600000006</v>
      </c>
    </row>
    <row r="184" spans="1:15" ht="12.75">
      <c r="A184" t="s">
        <v>59</v>
      </c>
      <c r="C184" s="3"/>
      <c r="D184" s="3"/>
      <c r="N184">
        <f t="shared" si="23"/>
        <v>3.3299999999999983</v>
      </c>
      <c r="O184">
        <f t="shared" si="22"/>
        <v>0.46091206000000073</v>
      </c>
    </row>
    <row r="186" spans="1:7" ht="12.75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5</v>
      </c>
      <c r="G186" t="s">
        <v>6</v>
      </c>
    </row>
    <row r="187" spans="1:15" ht="12.75">
      <c r="A187">
        <v>105</v>
      </c>
      <c r="B187">
        <f>(A187-offset1)/gain1</f>
        <v>1.0061851753243483</v>
      </c>
      <c r="G187">
        <f>1.019459*(E187+F187)/(D187-14)</f>
        <v>0</v>
      </c>
      <c r="N187">
        <v>3.32</v>
      </c>
      <c r="O187">
        <f aca="true" t="shared" si="24" ref="O187:O194">1.8826*N187^3-18.375*N187^2+59.05*N187-61.903</f>
        <v>0.4989571967999993</v>
      </c>
    </row>
    <row r="188" spans="1:15" ht="12.75">
      <c r="A188">
        <v>330</v>
      </c>
      <c r="B188">
        <f>(A188-offset1)/gain1</f>
        <v>2.884274848709443</v>
      </c>
      <c r="G188">
        <f>1.019459*(E188+F188)/(D188-14*2)</f>
        <v>0</v>
      </c>
      <c r="N188">
        <f aca="true" t="shared" si="25" ref="N188:N194">N187+0.01</f>
        <v>3.3299999999999996</v>
      </c>
      <c r="O188">
        <f t="shared" si="24"/>
        <v>0.4919197561999553</v>
      </c>
    </row>
    <row r="189" spans="1:15" ht="12.75">
      <c r="A189">
        <v>360</v>
      </c>
      <c r="B189">
        <f>(A189-offset1)/gain1</f>
        <v>3.134686805160789</v>
      </c>
      <c r="G189">
        <f>1.019459*(E189+F189)/(D189-14*2)</f>
        <v>0</v>
      </c>
      <c r="N189">
        <f t="shared" si="25"/>
        <v>3.3399999999999994</v>
      </c>
      <c r="O189">
        <f t="shared" si="24"/>
        <v>0.48496875039995047</v>
      </c>
    </row>
    <row r="190" spans="1:15" ht="12.75">
      <c r="A190">
        <v>390</v>
      </c>
      <c r="B190">
        <f>(A190-offset1)/gain1</f>
        <v>3.3850987616121353</v>
      </c>
      <c r="G190">
        <f>1.019459*(E190+F190)/(D190-14*2)</f>
        <v>0</v>
      </c>
      <c r="N190">
        <f t="shared" si="25"/>
        <v>3.349999999999999</v>
      </c>
      <c r="O190">
        <f t="shared" si="24"/>
        <v>0.47811547500000273</v>
      </c>
    </row>
    <row r="191" spans="1:15" ht="12.75">
      <c r="A191">
        <v>420</v>
      </c>
      <c r="B191">
        <f>(A191-offset1)/gain1</f>
        <v>3.635510718063481</v>
      </c>
      <c r="G191">
        <f>1.019459*(E191+F191)/(D191-14*2)</f>
        <v>0</v>
      </c>
      <c r="N191">
        <f t="shared" si="25"/>
        <v>3.359999999999999</v>
      </c>
      <c r="O191">
        <f t="shared" si="24"/>
        <v>0.47137122560001643</v>
      </c>
    </row>
    <row r="192" spans="14:15" ht="12.75">
      <c r="N192">
        <f t="shared" si="25"/>
        <v>3.3699999999999988</v>
      </c>
      <c r="O192">
        <f t="shared" si="24"/>
        <v>0.46474729779998114</v>
      </c>
    </row>
    <row r="193" spans="14:15" ht="12.75">
      <c r="N193">
        <f t="shared" si="25"/>
        <v>3.3799999999999986</v>
      </c>
      <c r="O193">
        <f t="shared" si="24"/>
        <v>0.45825498720000013</v>
      </c>
    </row>
    <row r="194" spans="14:15" ht="12.75">
      <c r="N194">
        <f t="shared" si="25"/>
        <v>3.3899999999999983</v>
      </c>
      <c r="O194">
        <f t="shared" si="24"/>
        <v>0.45190558940000614</v>
      </c>
    </row>
    <row r="196" spans="1:4" ht="12.75">
      <c r="A196" t="s">
        <v>60</v>
      </c>
      <c r="C196" s="3"/>
      <c r="D196" s="3"/>
    </row>
    <row r="198" spans="1:7" ht="12.75">
      <c r="A198" t="s">
        <v>0</v>
      </c>
      <c r="B198" t="s">
        <v>1</v>
      </c>
      <c r="C198" t="s">
        <v>2</v>
      </c>
      <c r="D198" t="s">
        <v>3</v>
      </c>
      <c r="E198" t="s">
        <v>4</v>
      </c>
      <c r="F198" t="s">
        <v>5</v>
      </c>
      <c r="G198" t="s">
        <v>6</v>
      </c>
    </row>
    <row r="199" spans="1:7" ht="12.75">
      <c r="A199">
        <v>105</v>
      </c>
      <c r="B199">
        <f>(A199-offset1)/gain1</f>
        <v>1.0061851753243483</v>
      </c>
      <c r="G199">
        <f>1.019459*(E199+F199)/(D199-14)</f>
        <v>0</v>
      </c>
    </row>
    <row r="200" spans="1:15" ht="12.75">
      <c r="A200">
        <v>330</v>
      </c>
      <c r="B200">
        <f>(A200-offset1)/gain1</f>
        <v>2.884274848709443</v>
      </c>
      <c r="G200">
        <f>1.019459*(E200+F200)/(D200-14*2)</f>
        <v>0</v>
      </c>
      <c r="N200">
        <v>3.44</v>
      </c>
      <c r="O200">
        <f aca="true" t="shared" si="26" ref="O200:O206">-0.5064*N200+2.2443</f>
        <v>0.5022840000000002</v>
      </c>
    </row>
    <row r="201" spans="1:15" ht="12.75">
      <c r="A201">
        <v>360</v>
      </c>
      <c r="B201">
        <f>(A201-offset1)/gain1</f>
        <v>3.134686805160789</v>
      </c>
      <c r="G201">
        <f>1.019459*(E201+F201)/(D201-14*2)</f>
        <v>0</v>
      </c>
      <c r="N201">
        <f aca="true" t="shared" si="27" ref="N201:N206">N200+0.01</f>
        <v>3.4499999999999997</v>
      </c>
      <c r="O201">
        <f t="shared" si="26"/>
        <v>0.4972200000000002</v>
      </c>
    </row>
    <row r="202" spans="1:15" ht="12.75">
      <c r="A202">
        <v>390</v>
      </c>
      <c r="B202">
        <f>(A202-offset1)/gain1</f>
        <v>3.3850987616121353</v>
      </c>
      <c r="G202">
        <f>1.019459*(E202+F202)/(D202-14*2)</f>
        <v>0</v>
      </c>
      <c r="N202">
        <f t="shared" si="27"/>
        <v>3.4599999999999995</v>
      </c>
      <c r="O202">
        <f t="shared" si="26"/>
        <v>0.49215600000000026</v>
      </c>
    </row>
    <row r="203" spans="1:15" ht="12.75">
      <c r="A203">
        <v>420</v>
      </c>
      <c r="B203">
        <f>(A203-offset1)/gain1</f>
        <v>3.635510718063481</v>
      </c>
      <c r="G203">
        <f>1.019459*(E203+F203)/(D203-14*2)</f>
        <v>0</v>
      </c>
      <c r="N203">
        <f t="shared" si="27"/>
        <v>3.4699999999999993</v>
      </c>
      <c r="O203">
        <f t="shared" si="26"/>
        <v>0.4870920000000005</v>
      </c>
    </row>
    <row r="204" spans="14:15" ht="12.75">
      <c r="N204">
        <f t="shared" si="27"/>
        <v>3.479999999999999</v>
      </c>
      <c r="O204">
        <f t="shared" si="26"/>
        <v>0.48202800000000057</v>
      </c>
    </row>
    <row r="205" spans="14:15" ht="12.75">
      <c r="N205">
        <f t="shared" si="27"/>
        <v>3.489999999999999</v>
      </c>
      <c r="O205">
        <f t="shared" si="26"/>
        <v>0.4769640000000006</v>
      </c>
    </row>
    <row r="206" spans="14:15" ht="12.75">
      <c r="N206">
        <f t="shared" si="27"/>
        <v>3.4999999999999987</v>
      </c>
      <c r="O206">
        <f t="shared" si="26"/>
        <v>0.4719000000000009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K28" sqref="K28"/>
    </sheetView>
  </sheetViews>
  <sheetFormatPr defaultColWidth="9.140625" defaultRowHeight="12.75"/>
  <sheetData>
    <row r="1" spans="1:5" ht="12.75">
      <c r="A1" t="s">
        <v>14</v>
      </c>
      <c r="E1" t="s">
        <v>36</v>
      </c>
    </row>
    <row r="2" spans="1:5" ht="12.75">
      <c r="A2" t="s">
        <v>16</v>
      </c>
      <c r="E2" s="9">
        <v>39114</v>
      </c>
    </row>
    <row r="4" spans="1:17" ht="12.75">
      <c r="A4">
        <v>1</v>
      </c>
      <c r="B4">
        <v>121.488</v>
      </c>
      <c r="C4">
        <v>-11.285</v>
      </c>
      <c r="P4" s="4"/>
      <c r="Q4" s="4"/>
    </row>
    <row r="5" spans="5:17" ht="12.75">
      <c r="E5">
        <v>119.80258620689655</v>
      </c>
      <c r="F5">
        <v>-15.543586206896553</v>
      </c>
      <c r="P5" s="4"/>
      <c r="Q5" s="4"/>
    </row>
    <row r="6" spans="5:17" ht="12.75">
      <c r="E6">
        <v>114.82</v>
      </c>
      <c r="F6">
        <v>-13.395</v>
      </c>
      <c r="I6" t="s">
        <v>37</v>
      </c>
      <c r="J6" t="s">
        <v>38</v>
      </c>
      <c r="K6" t="s">
        <v>39</v>
      </c>
      <c r="L6" t="s">
        <v>40</v>
      </c>
      <c r="P6" s="4"/>
      <c r="Q6" s="4"/>
    </row>
    <row r="7" spans="9:17" ht="12.75">
      <c r="I7">
        <v>100</v>
      </c>
      <c r="J7">
        <f>(I7+15.5436)/119.8026</f>
        <v>0.964449853342081</v>
      </c>
      <c r="K7">
        <f>(I7+13.395)/114.82</f>
        <v>0.9875892701619927</v>
      </c>
      <c r="L7">
        <f aca="true" t="shared" si="0" ref="L7:L27">(I7+1.97659)/79.82993</f>
        <v>1.2774230166555325</v>
      </c>
      <c r="P7" s="4"/>
      <c r="Q7" s="4"/>
    </row>
    <row r="8" spans="1:17" ht="12.75">
      <c r="A8">
        <v>5</v>
      </c>
      <c r="B8">
        <v>117.763</v>
      </c>
      <c r="C8">
        <v>-8.46</v>
      </c>
      <c r="I8">
        <f aca="true" t="shared" si="1" ref="I8:I27">I7+20</f>
        <v>120</v>
      </c>
      <c r="J8">
        <f aca="true" t="shared" si="2" ref="J8:J27">(I8+15.5436)/119.8026</f>
        <v>1.1313911384227053</v>
      </c>
      <c r="K8">
        <f aca="true" t="shared" si="3" ref="K8:K27">(I8+13.395)/114.82</f>
        <v>1.1617749520989376</v>
      </c>
      <c r="L8">
        <f t="shared" si="0"/>
        <v>1.5279556176486688</v>
      </c>
      <c r="P8" s="4"/>
      <c r="Q8" s="4"/>
    </row>
    <row r="9" spans="5:17" ht="12.75">
      <c r="E9" t="s">
        <v>42</v>
      </c>
      <c r="I9">
        <f t="shared" si="1"/>
        <v>140</v>
      </c>
      <c r="J9">
        <f t="shared" si="2"/>
        <v>1.2983324235033296</v>
      </c>
      <c r="K9">
        <f t="shared" si="3"/>
        <v>1.3359606340358825</v>
      </c>
      <c r="L9">
        <f t="shared" si="0"/>
        <v>1.778488218641805</v>
      </c>
      <c r="P9" s="4"/>
      <c r="Q9" s="4"/>
    </row>
    <row r="10" spans="1:17" ht="12.75">
      <c r="A10">
        <v>7</v>
      </c>
      <c r="B10">
        <v>116.653</v>
      </c>
      <c r="C10">
        <v>-13.089</v>
      </c>
      <c r="E10" t="s">
        <v>41</v>
      </c>
      <c r="F10" t="s">
        <v>24</v>
      </c>
      <c r="I10">
        <f t="shared" si="1"/>
        <v>160</v>
      </c>
      <c r="J10">
        <f t="shared" si="2"/>
        <v>1.465273708583954</v>
      </c>
      <c r="K10">
        <f t="shared" si="3"/>
        <v>1.5101463159728272</v>
      </c>
      <c r="L10">
        <f t="shared" si="0"/>
        <v>2.0290208196349413</v>
      </c>
      <c r="P10" s="4"/>
      <c r="Q10" s="4"/>
    </row>
    <row r="11" spans="5:17" ht="12.75">
      <c r="E11">
        <v>5</v>
      </c>
      <c r="F11">
        <v>11.9</v>
      </c>
      <c r="I11">
        <f t="shared" si="1"/>
        <v>180</v>
      </c>
      <c r="J11">
        <f t="shared" si="2"/>
        <v>1.6322149936645782</v>
      </c>
      <c r="K11">
        <f t="shared" si="3"/>
        <v>1.684331997909772</v>
      </c>
      <c r="L11">
        <f t="shared" si="0"/>
        <v>2.2795534206280776</v>
      </c>
      <c r="P11" s="4"/>
      <c r="Q11" s="4"/>
    </row>
    <row r="12" spans="1:17" ht="12.75">
      <c r="A12">
        <v>9</v>
      </c>
      <c r="B12">
        <v>117.095</v>
      </c>
      <c r="C12">
        <v>-9.113</v>
      </c>
      <c r="E12">
        <v>10</v>
      </c>
      <c r="F12">
        <v>17.1</v>
      </c>
      <c r="I12">
        <f t="shared" si="1"/>
        <v>200</v>
      </c>
      <c r="J12">
        <f t="shared" si="2"/>
        <v>1.7991562787452025</v>
      </c>
      <c r="K12">
        <f t="shared" si="3"/>
        <v>1.858517679846717</v>
      </c>
      <c r="L12">
        <f t="shared" si="0"/>
        <v>2.5300860216212135</v>
      </c>
      <c r="P12" s="4"/>
      <c r="Q12" s="4"/>
    </row>
    <row r="13" spans="5:17" ht="12.75">
      <c r="E13">
        <v>20</v>
      </c>
      <c r="F13">
        <v>25.5</v>
      </c>
      <c r="I13">
        <f t="shared" si="1"/>
        <v>220</v>
      </c>
      <c r="J13">
        <f t="shared" si="2"/>
        <v>1.966097563825827</v>
      </c>
      <c r="K13">
        <f t="shared" si="3"/>
        <v>2.0327033617836614</v>
      </c>
      <c r="L13">
        <f t="shared" si="0"/>
        <v>2.78061862261435</v>
      </c>
      <c r="P13" s="4"/>
      <c r="Q13" s="4"/>
    </row>
    <row r="14" spans="1:17" ht="12.75">
      <c r="A14">
        <v>11</v>
      </c>
      <c r="B14">
        <v>119.873</v>
      </c>
      <c r="C14">
        <v>-14.428</v>
      </c>
      <c r="E14">
        <v>30</v>
      </c>
      <c r="F14">
        <v>32.5</v>
      </c>
      <c r="I14">
        <f t="shared" si="1"/>
        <v>240</v>
      </c>
      <c r="J14">
        <f t="shared" si="2"/>
        <v>2.1330388489064513</v>
      </c>
      <c r="K14">
        <f t="shared" si="3"/>
        <v>2.2068890437206066</v>
      </c>
      <c r="L14">
        <f t="shared" si="0"/>
        <v>3.0311512236074862</v>
      </c>
      <c r="P14" s="4"/>
      <c r="Q14" s="4"/>
    </row>
    <row r="15" spans="5:17" ht="12.75">
      <c r="E15">
        <v>40</v>
      </c>
      <c r="F15">
        <v>38.9</v>
      </c>
      <c r="I15">
        <f t="shared" si="1"/>
        <v>260</v>
      </c>
      <c r="J15">
        <f t="shared" si="2"/>
        <v>2.299980133987076</v>
      </c>
      <c r="K15">
        <f t="shared" si="3"/>
        <v>2.381074725657551</v>
      </c>
      <c r="L15">
        <f t="shared" si="0"/>
        <v>3.2816838246006226</v>
      </c>
      <c r="P15" s="4"/>
      <c r="Q15" s="4"/>
    </row>
    <row r="16" spans="1:17" ht="12.75">
      <c r="A16">
        <v>13</v>
      </c>
      <c r="B16">
        <v>118.965</v>
      </c>
      <c r="C16">
        <v>-17.566</v>
      </c>
      <c r="E16">
        <v>50</v>
      </c>
      <c r="F16">
        <v>45</v>
      </c>
      <c r="I16">
        <f t="shared" si="1"/>
        <v>280</v>
      </c>
      <c r="J16">
        <f t="shared" si="2"/>
        <v>2.4669214190677</v>
      </c>
      <c r="K16">
        <f t="shared" si="3"/>
        <v>2.5552604075944956</v>
      </c>
      <c r="L16">
        <f t="shared" si="0"/>
        <v>3.532216425593759</v>
      </c>
      <c r="P16" s="4"/>
      <c r="Q16" s="4"/>
    </row>
    <row r="17" spans="5:17" ht="12.75">
      <c r="E17">
        <v>60</v>
      </c>
      <c r="F17">
        <v>50.5</v>
      </c>
      <c r="I17">
        <f t="shared" si="1"/>
        <v>300</v>
      </c>
      <c r="J17">
        <f t="shared" si="2"/>
        <v>2.6338627041483242</v>
      </c>
      <c r="K17">
        <f t="shared" si="3"/>
        <v>2.7294460895314403</v>
      </c>
      <c r="L17">
        <f t="shared" si="0"/>
        <v>3.782749026586895</v>
      </c>
      <c r="P17" s="4"/>
      <c r="Q17" s="4"/>
    </row>
    <row r="18" spans="1:17" ht="12.75">
      <c r="A18">
        <v>15</v>
      </c>
      <c r="B18">
        <v>117.323</v>
      </c>
      <c r="C18">
        <v>-10.178</v>
      </c>
      <c r="E18">
        <v>70</v>
      </c>
      <c r="F18">
        <v>55.9</v>
      </c>
      <c r="I18">
        <f t="shared" si="1"/>
        <v>320</v>
      </c>
      <c r="J18">
        <f t="shared" si="2"/>
        <v>2.8008039892289487</v>
      </c>
      <c r="K18">
        <f t="shared" si="3"/>
        <v>2.9036317714683855</v>
      </c>
      <c r="L18">
        <f t="shared" si="0"/>
        <v>4.033281627580031</v>
      </c>
      <c r="P18" s="4"/>
      <c r="Q18" s="4"/>
    </row>
    <row r="19" spans="5:17" ht="12.75">
      <c r="E19">
        <v>80</v>
      </c>
      <c r="F19">
        <v>61.1</v>
      </c>
      <c r="I19">
        <f t="shared" si="1"/>
        <v>340</v>
      </c>
      <c r="J19">
        <f t="shared" si="2"/>
        <v>2.9677452743095727</v>
      </c>
      <c r="K19">
        <f t="shared" si="3"/>
        <v>3.07781745340533</v>
      </c>
      <c r="L19">
        <f t="shared" si="0"/>
        <v>4.283814228573168</v>
      </c>
      <c r="P19" s="4"/>
      <c r="Q19" s="4"/>
    </row>
    <row r="20" spans="1:17" ht="12.75">
      <c r="A20">
        <v>17</v>
      </c>
      <c r="B20">
        <v>121.458</v>
      </c>
      <c r="C20">
        <v>-12.733</v>
      </c>
      <c r="E20">
        <v>90</v>
      </c>
      <c r="F20">
        <v>66</v>
      </c>
      <c r="I20">
        <f t="shared" si="1"/>
        <v>360</v>
      </c>
      <c r="J20">
        <f t="shared" si="2"/>
        <v>3.134686559390197</v>
      </c>
      <c r="K20">
        <f t="shared" si="3"/>
        <v>3.252003135342275</v>
      </c>
      <c r="L20">
        <f t="shared" si="0"/>
        <v>4.534346829566304</v>
      </c>
      <c r="P20" s="4"/>
      <c r="Q20" s="4"/>
    </row>
    <row r="21" spans="5:17" ht="12.75">
      <c r="E21">
        <v>100</v>
      </c>
      <c r="F21">
        <v>71.2</v>
      </c>
      <c r="I21">
        <f t="shared" si="1"/>
        <v>380</v>
      </c>
      <c r="J21">
        <f t="shared" si="2"/>
        <v>3.3016278444708216</v>
      </c>
      <c r="K21">
        <f t="shared" si="3"/>
        <v>3.4261888172792196</v>
      </c>
      <c r="L21">
        <f t="shared" si="0"/>
        <v>4.78487943055944</v>
      </c>
      <c r="P21" s="4"/>
      <c r="Q21" s="4"/>
    </row>
    <row r="22" spans="1:17" ht="12.75">
      <c r="A22">
        <v>19</v>
      </c>
      <c r="B22">
        <v>122.22</v>
      </c>
      <c r="C22">
        <v>-13.074</v>
      </c>
      <c r="E22">
        <v>150</v>
      </c>
      <c r="F22">
        <v>93.6</v>
      </c>
      <c r="I22">
        <f t="shared" si="1"/>
        <v>400</v>
      </c>
      <c r="J22">
        <f t="shared" si="2"/>
        <v>3.4685691295514456</v>
      </c>
      <c r="K22">
        <f t="shared" si="3"/>
        <v>3.6003744992161644</v>
      </c>
      <c r="L22">
        <f t="shared" si="0"/>
        <v>5.0354120315525766</v>
      </c>
      <c r="P22" s="4"/>
      <c r="Q22" s="4"/>
    </row>
    <row r="23" spans="5:17" ht="12.75">
      <c r="E23">
        <v>200</v>
      </c>
      <c r="F23">
        <v>116</v>
      </c>
      <c r="I23">
        <f t="shared" si="1"/>
        <v>420</v>
      </c>
      <c r="J23">
        <f t="shared" si="2"/>
        <v>3.63551041463207</v>
      </c>
      <c r="K23">
        <f t="shared" si="3"/>
        <v>3.774560181153109</v>
      </c>
      <c r="L23">
        <f t="shared" si="0"/>
        <v>5.2859446325457125</v>
      </c>
      <c r="P23" s="4"/>
      <c r="Q23" s="4"/>
    </row>
    <row r="24" spans="1:17" ht="12.75">
      <c r="A24">
        <v>21</v>
      </c>
      <c r="B24">
        <v>119.226</v>
      </c>
      <c r="C24">
        <v>-16.923</v>
      </c>
      <c r="I24">
        <f t="shared" si="1"/>
        <v>440</v>
      </c>
      <c r="J24">
        <f t="shared" si="2"/>
        <v>3.8024516997126945</v>
      </c>
      <c r="K24">
        <f t="shared" si="3"/>
        <v>3.9487458630900543</v>
      </c>
      <c r="L24">
        <f t="shared" si="0"/>
        <v>5.536477233538849</v>
      </c>
      <c r="P24" s="4"/>
      <c r="Q24" s="4"/>
    </row>
    <row r="25" spans="9:17" ht="12.75">
      <c r="I25">
        <f t="shared" si="1"/>
        <v>460</v>
      </c>
      <c r="J25">
        <f t="shared" si="2"/>
        <v>3.9693929847933185</v>
      </c>
      <c r="K25">
        <f t="shared" si="3"/>
        <v>4.122931545026999</v>
      </c>
      <c r="L25">
        <f t="shared" si="0"/>
        <v>5.787009834531985</v>
      </c>
      <c r="P25" s="4"/>
      <c r="Q25" s="4"/>
    </row>
    <row r="26" spans="1:17" ht="12.75">
      <c r="A26">
        <v>23</v>
      </c>
      <c r="B26">
        <v>121.686</v>
      </c>
      <c r="C26">
        <v>-13.485</v>
      </c>
      <c r="I26">
        <f t="shared" si="1"/>
        <v>480</v>
      </c>
      <c r="J26">
        <f t="shared" si="2"/>
        <v>4.1363342698739425</v>
      </c>
      <c r="K26">
        <f t="shared" si="3"/>
        <v>4.297117226963944</v>
      </c>
      <c r="L26">
        <f t="shared" si="0"/>
        <v>6.037542435525121</v>
      </c>
      <c r="P26" s="4"/>
      <c r="Q26" s="4"/>
    </row>
    <row r="27" spans="9:17" ht="12.75">
      <c r="I27">
        <f t="shared" si="1"/>
        <v>500</v>
      </c>
      <c r="J27">
        <f t="shared" si="2"/>
        <v>4.303275554954567</v>
      </c>
      <c r="K27">
        <f t="shared" si="3"/>
        <v>4.471302908900888</v>
      </c>
      <c r="L27">
        <f t="shared" si="0"/>
        <v>6.288075036518258</v>
      </c>
      <c r="P27" s="4"/>
      <c r="Q27" s="4"/>
    </row>
    <row r="28" spans="1:17" ht="12.75">
      <c r="A28">
        <v>25</v>
      </c>
      <c r="B28">
        <v>119.576</v>
      </c>
      <c r="C28">
        <v>-13.354</v>
      </c>
      <c r="P28" s="4"/>
      <c r="Q28" s="4"/>
    </row>
    <row r="29" spans="16:17" ht="12.75">
      <c r="P29" s="4"/>
      <c r="Q29" s="4"/>
    </row>
    <row r="30" spans="1:17" ht="12.75">
      <c r="A30">
        <v>27</v>
      </c>
      <c r="B30">
        <v>119.654</v>
      </c>
      <c r="C30">
        <v>-22.557</v>
      </c>
      <c r="P30" s="4"/>
      <c r="Q30" s="4"/>
    </row>
    <row r="31" spans="16:17" ht="12.75">
      <c r="P31" s="4"/>
      <c r="Q31" s="4"/>
    </row>
    <row r="32" spans="1:17" ht="12.75">
      <c r="A32">
        <v>29</v>
      </c>
      <c r="B32">
        <v>118.135</v>
      </c>
      <c r="C32">
        <v>-16.21</v>
      </c>
      <c r="P32" s="4"/>
      <c r="Q32" s="4"/>
    </row>
    <row r="33" spans="16:17" ht="12.75">
      <c r="P33" s="4"/>
      <c r="Q33" s="4"/>
    </row>
    <row r="34" spans="1:17" ht="12.75">
      <c r="A34">
        <v>31</v>
      </c>
      <c r="B34">
        <v>121.104</v>
      </c>
      <c r="C34">
        <v>-14.151</v>
      </c>
      <c r="P34" s="4"/>
      <c r="Q34" s="4"/>
    </row>
    <row r="35" spans="16:17" ht="12.75">
      <c r="P35" s="4"/>
      <c r="Q35" s="4"/>
    </row>
    <row r="36" spans="1:17" ht="12.75">
      <c r="A36">
        <v>33</v>
      </c>
      <c r="B36">
        <v>119.526</v>
      </c>
      <c r="C36">
        <v>-13.315</v>
      </c>
      <c r="P36" s="4"/>
      <c r="Q36" s="4"/>
    </row>
    <row r="37" spans="16:17" ht="12.75">
      <c r="P37" s="4"/>
      <c r="Q37" s="4"/>
    </row>
    <row r="38" spans="1:17" ht="12.75">
      <c r="A38">
        <v>35</v>
      </c>
      <c r="B38">
        <v>114.843</v>
      </c>
      <c r="C38">
        <v>-7.271</v>
      </c>
      <c r="P38" s="4"/>
      <c r="Q38" s="4"/>
    </row>
    <row r="39" spans="16:17" ht="12.75">
      <c r="P39" s="4"/>
      <c r="Q39" s="4"/>
    </row>
    <row r="40" spans="1:17" ht="12.75">
      <c r="A40">
        <v>37</v>
      </c>
      <c r="B40">
        <v>118.262</v>
      </c>
      <c r="C40">
        <v>-30.817</v>
      </c>
      <c r="P40" s="4"/>
      <c r="Q40" s="4"/>
    </row>
    <row r="41" spans="16:17" ht="12.75">
      <c r="P41" s="4"/>
      <c r="Q41" s="4"/>
    </row>
    <row r="42" spans="1:17" ht="12.75">
      <c r="A42">
        <v>39</v>
      </c>
      <c r="B42">
        <v>118.942</v>
      </c>
      <c r="C42">
        <v>-20.838</v>
      </c>
      <c r="P42" s="4"/>
      <c r="Q42" s="4"/>
    </row>
    <row r="43" spans="16:17" ht="12.75">
      <c r="P43" s="4"/>
      <c r="Q43" s="4"/>
    </row>
    <row r="44" spans="1:17" ht="12.75">
      <c r="A44">
        <v>41</v>
      </c>
      <c r="B44">
        <v>121.605</v>
      </c>
      <c r="C44">
        <v>-25.748</v>
      </c>
      <c r="P44" s="4"/>
      <c r="Q44" s="4"/>
    </row>
    <row r="45" spans="16:17" ht="12.75">
      <c r="P45" s="4"/>
      <c r="Q45" s="4"/>
    </row>
    <row r="46" spans="1:17" ht="12.75">
      <c r="A46">
        <v>43</v>
      </c>
      <c r="B46">
        <v>120.774</v>
      </c>
      <c r="C46">
        <v>-23.713</v>
      </c>
      <c r="P46" s="4"/>
      <c r="Q46" s="4"/>
    </row>
    <row r="47" spans="16:17" ht="12.75">
      <c r="P47" s="4"/>
      <c r="Q47" s="4"/>
    </row>
    <row r="48" spans="16:17" ht="12.75">
      <c r="P48" s="4"/>
      <c r="Q48" s="4"/>
    </row>
    <row r="49" spans="16:17" ht="12.75">
      <c r="P49" s="4"/>
      <c r="Q49" s="4"/>
    </row>
    <row r="50" spans="5:17" ht="12.75">
      <c r="E50">
        <v>49</v>
      </c>
      <c r="F50">
        <v>124.268</v>
      </c>
      <c r="G50">
        <v>-24.93</v>
      </c>
      <c r="P50" s="4"/>
      <c r="Q50" s="4"/>
    </row>
    <row r="51" spans="16:17" ht="12.75">
      <c r="P51" s="4"/>
      <c r="Q51" s="4"/>
    </row>
    <row r="52" spans="16:17" ht="12.75">
      <c r="P52" s="4"/>
      <c r="Q52" s="4"/>
    </row>
    <row r="53" spans="16:17" ht="12.75">
      <c r="P53" s="4"/>
      <c r="Q53" s="4"/>
    </row>
    <row r="54" spans="1:17" ht="12.75">
      <c r="A54">
        <v>51</v>
      </c>
      <c r="B54">
        <v>120.593</v>
      </c>
      <c r="C54">
        <v>-10.614</v>
      </c>
      <c r="P54" s="4"/>
      <c r="Q54" s="4"/>
    </row>
    <row r="56" spans="1:3" ht="12.75">
      <c r="A56">
        <v>53</v>
      </c>
      <c r="B56">
        <v>118.909</v>
      </c>
      <c r="C56">
        <v>-18.683</v>
      </c>
    </row>
    <row r="58" spans="1:3" ht="12.75">
      <c r="A58">
        <v>55</v>
      </c>
      <c r="B58">
        <v>121.831</v>
      </c>
      <c r="C58">
        <v>-24.136</v>
      </c>
    </row>
    <row r="60" spans="1:3" ht="12.75">
      <c r="A60">
        <v>57</v>
      </c>
      <c r="B60">
        <v>119.878</v>
      </c>
      <c r="C60">
        <v>-12.318</v>
      </c>
    </row>
    <row r="62" spans="1:3" ht="12.75">
      <c r="A62">
        <v>59</v>
      </c>
      <c r="B62">
        <v>119.049</v>
      </c>
      <c r="C62">
        <v>-11.011</v>
      </c>
    </row>
    <row r="64" spans="1:3" ht="12.75">
      <c r="A64">
        <v>61</v>
      </c>
      <c r="B64">
        <v>120.747</v>
      </c>
      <c r="C64">
        <v>-20.492</v>
      </c>
    </row>
    <row r="66" spans="1:3" ht="12.75">
      <c r="A66">
        <v>63</v>
      </c>
      <c r="B66">
        <v>122.829</v>
      </c>
      <c r="C66">
        <v>-0.272</v>
      </c>
    </row>
    <row r="67" spans="2:3" ht="12.75">
      <c r="B67">
        <f>SUM(B4:B66)/28</f>
        <v>119.64310714285715</v>
      </c>
      <c r="C67">
        <f>SUM(C4:C66)/28</f>
        <v>-15.208357142857142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2006-08-14T21:50:42Z</cp:lastPrinted>
  <dcterms:created xsi:type="dcterms:W3CDTF">1996-10-14T23:33:28Z</dcterms:created>
  <dcterms:modified xsi:type="dcterms:W3CDTF">2007-03-20T21:06:35Z</dcterms:modified>
  <cp:category/>
  <cp:version/>
  <cp:contentType/>
  <cp:contentStatus/>
</cp:coreProperties>
</file>